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nika Lewenski\Courses\Chapter 1. Models and Analysis\A. Corporate Models Templates and Exercises\D. Credit and Financial Statement Analysis\"/>
    </mc:Choice>
  </mc:AlternateContent>
  <xr:revisionPtr revIDLastSave="0" documentId="13_ncr:1_{DC98852D-B82C-4C4C-A7DF-259BAE5B80B7}" xr6:coauthVersionLast="28" xr6:coauthVersionMax="28" xr10:uidLastSave="{00000000-0000-0000-0000-000000000000}"/>
  <bookViews>
    <workbookView xWindow="0" yWindow="0" windowWidth="19200" windowHeight="6950" activeTab="1" xr2:uid="{00000000-000D-0000-FFFF-FFFF00000000}"/>
  </bookViews>
  <sheets>
    <sheet name="Short-cuts" sheetId="1" r:id="rId1"/>
    <sheet name="PF and CF Exercise" sheetId="2" r:id="rId2"/>
  </sheets>
  <definedNames>
    <definedName name="Cap_Exp">'PF and CF Exercise'!$C$15</definedName>
    <definedName name="Cap_Exp_Vol">'PF and CF Exercise'!$C$10</definedName>
    <definedName name="Capital_Expenditure">'PF and CF Exercise'!$C$15</definedName>
    <definedName name="CFADS">'PF and CF Exercise'!$C$2</definedName>
    <definedName name="Debt_Service">'PF and CF Exercise'!#REF!</definedName>
    <definedName name="DSCR">'PF and CF Exercise'!#REF!</definedName>
    <definedName name="EBITDA">'PF and CF Exercise'!$C$7</definedName>
    <definedName name="Growth">'PF and CF Exercise'!$C$8</definedName>
    <definedName name="Initial_Debt">'PF and CF Exercise'!$C$14</definedName>
    <definedName name="Initial_Finance">'PF and CF Exercise'!$C$14</definedName>
    <definedName name="Interest_Rate">'PF and CF Exercise'!$C$13</definedName>
    <definedName name="PF_Volatility">'PF and CF Exercise'!$C$5</definedName>
    <definedName name="Re_finance_Year">'PF and CF Exercise'!$C$12</definedName>
    <definedName name="Target_Debt_Service">'PF and CF Exercise'!$C$4</definedName>
    <definedName name="Target_DSCR">'PF and CF Exercise'!$C$3</definedName>
    <definedName name="Volatility">'PF and CF Exercise'!$C$9</definedName>
  </definedNames>
  <calcPr calcId="171027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G31" i="2" s="1"/>
  <c r="H31" i="2" s="1"/>
  <c r="E31" i="2"/>
  <c r="E42" i="2"/>
  <c r="F42" i="2"/>
  <c r="F54" i="2" s="1"/>
  <c r="E43" i="2"/>
  <c r="F43" i="2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X43" i="2" s="1"/>
  <c r="D38" i="2"/>
  <c r="E38" i="2"/>
  <c r="D51" i="2"/>
  <c r="E48" i="2"/>
  <c r="E52" i="2"/>
  <c r="E44" i="2"/>
  <c r="E45" i="2"/>
  <c r="E47" i="2"/>
  <c r="E49" i="2"/>
  <c r="E50" i="2"/>
  <c r="E51" i="2"/>
  <c r="F52" i="2"/>
  <c r="F44" i="2"/>
  <c r="F38" i="2"/>
  <c r="F48" i="2"/>
  <c r="G38" i="2"/>
  <c r="H38" i="2"/>
  <c r="H47" i="2"/>
  <c r="I38" i="2"/>
  <c r="J38" i="2"/>
  <c r="K38" i="2"/>
  <c r="L38" i="2"/>
  <c r="L47" i="2"/>
  <c r="M38" i="2"/>
  <c r="N38" i="2"/>
  <c r="O38" i="2"/>
  <c r="P38" i="2"/>
  <c r="P47" i="2"/>
  <c r="Q38" i="2"/>
  <c r="R38" i="2"/>
  <c r="S38" i="2"/>
  <c r="T38" i="2"/>
  <c r="T47" i="2"/>
  <c r="U38" i="2"/>
  <c r="V38" i="2"/>
  <c r="W38" i="2"/>
  <c r="X38" i="2"/>
  <c r="X47" i="2"/>
  <c r="E55" i="2"/>
  <c r="E54" i="2"/>
  <c r="D39" i="2"/>
  <c r="E39" i="2"/>
  <c r="E40" i="2"/>
  <c r="F39" i="2"/>
  <c r="F40" i="2"/>
  <c r="G39" i="2"/>
  <c r="G40" i="2"/>
  <c r="H39" i="2"/>
  <c r="H40" i="2"/>
  <c r="I39" i="2"/>
  <c r="I40" i="2"/>
  <c r="J39" i="2"/>
  <c r="J40" i="2"/>
  <c r="K39" i="2"/>
  <c r="K40" i="2"/>
  <c r="L39" i="2"/>
  <c r="L40" i="2"/>
  <c r="M39" i="2"/>
  <c r="M40" i="2"/>
  <c r="N39" i="2"/>
  <c r="N40" i="2"/>
  <c r="O39" i="2"/>
  <c r="O40" i="2"/>
  <c r="P39" i="2"/>
  <c r="P40" i="2"/>
  <c r="Q39" i="2"/>
  <c r="Q40" i="2"/>
  <c r="R39" i="2"/>
  <c r="R40" i="2"/>
  <c r="S39" i="2"/>
  <c r="S40" i="2"/>
  <c r="T39" i="2"/>
  <c r="T40" i="2"/>
  <c r="U39" i="2"/>
  <c r="U40" i="2"/>
  <c r="V39" i="2"/>
  <c r="V40" i="2"/>
  <c r="W39" i="2"/>
  <c r="W40" i="2"/>
  <c r="X39" i="2"/>
  <c r="X40" i="2"/>
  <c r="C4" i="2"/>
  <c r="E32" i="2"/>
  <c r="F32" i="2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E33" i="2"/>
  <c r="G33" i="2" l="1"/>
  <c r="F45" i="2"/>
  <c r="F47" i="2" s="1"/>
  <c r="F49" i="2" s="1"/>
  <c r="F50" i="2" s="1"/>
  <c r="F51" i="2" s="1"/>
  <c r="H33" i="2"/>
  <c r="I31" i="2"/>
  <c r="G42" i="2"/>
  <c r="F33" i="2"/>
  <c r="J31" i="2" l="1"/>
  <c r="I33" i="2"/>
  <c r="H42" i="2"/>
  <c r="G48" i="2"/>
  <c r="F55" i="2"/>
  <c r="G52" i="2"/>
  <c r="G44" i="2" s="1"/>
  <c r="G45" i="2" s="1"/>
  <c r="G47" i="2" s="1"/>
  <c r="G49" i="2" s="1"/>
  <c r="G54" i="2" l="1"/>
  <c r="G50" i="2"/>
  <c r="G51" i="2" s="1"/>
  <c r="I42" i="2"/>
  <c r="K31" i="2"/>
  <c r="J33" i="2"/>
  <c r="J42" i="2" l="1"/>
  <c r="H48" i="2"/>
  <c r="G55" i="2"/>
  <c r="H52" i="2"/>
  <c r="L31" i="2"/>
  <c r="K33" i="2"/>
  <c r="K42" i="2" l="1"/>
  <c r="H44" i="2"/>
  <c r="H45" i="2" s="1"/>
  <c r="H49" i="2" s="1"/>
  <c r="H50" i="2" s="1"/>
  <c r="H51" i="2" s="1"/>
  <c r="H54" i="2"/>
  <c r="L33" i="2"/>
  <c r="M31" i="2"/>
  <c r="I48" i="2" l="1"/>
  <c r="H55" i="2"/>
  <c r="I52" i="2"/>
  <c r="N31" i="2"/>
  <c r="M33" i="2"/>
  <c r="L42" i="2"/>
  <c r="I44" i="2" l="1"/>
  <c r="I45" i="2" s="1"/>
  <c r="I47" i="2" s="1"/>
  <c r="I54" i="2"/>
  <c r="M42" i="2"/>
  <c r="O31" i="2"/>
  <c r="N33" i="2"/>
  <c r="P31" i="2" l="1"/>
  <c r="O33" i="2"/>
  <c r="I49" i="2"/>
  <c r="I50" i="2" s="1"/>
  <c r="I51" i="2" s="1"/>
  <c r="N42" i="2"/>
  <c r="J48" i="2" l="1"/>
  <c r="I55" i="2"/>
  <c r="J52" i="2"/>
  <c r="O42" i="2"/>
  <c r="P33" i="2"/>
  <c r="Q31" i="2"/>
  <c r="P42" i="2" l="1"/>
  <c r="J44" i="2"/>
  <c r="J45" i="2" s="1"/>
  <c r="J47" i="2" s="1"/>
  <c r="J54" i="2"/>
  <c r="R31" i="2"/>
  <c r="Q33" i="2"/>
  <c r="J49" i="2" l="1"/>
  <c r="J50" i="2" s="1"/>
  <c r="J51" i="2" s="1"/>
  <c r="Q42" i="2"/>
  <c r="S31" i="2"/>
  <c r="R33" i="2"/>
  <c r="R42" i="2" l="1"/>
  <c r="T31" i="2"/>
  <c r="S33" i="2"/>
  <c r="K48" i="2"/>
  <c r="J55" i="2"/>
  <c r="K52" i="2"/>
  <c r="T33" i="2" l="1"/>
  <c r="U31" i="2"/>
  <c r="S42" i="2"/>
  <c r="K44" i="2"/>
  <c r="K45" i="2" s="1"/>
  <c r="K47" i="2" s="1"/>
  <c r="K49" i="2" s="1"/>
  <c r="K50" i="2" s="1"/>
  <c r="K51" i="2" s="1"/>
  <c r="K54" i="2"/>
  <c r="L48" i="2" l="1"/>
  <c r="K55" i="2"/>
  <c r="L52" i="2"/>
  <c r="T42" i="2"/>
  <c r="V31" i="2"/>
  <c r="U33" i="2"/>
  <c r="W31" i="2" l="1"/>
  <c r="V33" i="2"/>
  <c r="L44" i="2"/>
  <c r="L45" i="2" s="1"/>
  <c r="L49" i="2" s="1"/>
  <c r="L50" i="2" s="1"/>
  <c r="L51" i="2" s="1"/>
  <c r="L54" i="2"/>
  <c r="U42" i="2"/>
  <c r="V42" i="2" l="1"/>
  <c r="M48" i="2"/>
  <c r="L55" i="2"/>
  <c r="M52" i="2"/>
  <c r="X31" i="2"/>
  <c r="X33" i="2" s="1"/>
  <c r="C35" i="2" s="1"/>
  <c r="W33" i="2"/>
  <c r="M44" i="2" l="1"/>
  <c r="M45" i="2" s="1"/>
  <c r="M47" i="2" s="1"/>
  <c r="M54" i="2"/>
  <c r="W42" i="2"/>
  <c r="X42" i="2" l="1"/>
  <c r="M49" i="2"/>
  <c r="M50" i="2" s="1"/>
  <c r="M51" i="2" s="1"/>
  <c r="N48" i="2" l="1"/>
  <c r="N52" i="2"/>
  <c r="M55" i="2"/>
  <c r="N44" i="2" l="1"/>
  <c r="N45" i="2" s="1"/>
  <c r="N47" i="2" s="1"/>
  <c r="N54" i="2"/>
  <c r="N49" i="2" l="1"/>
  <c r="N50" i="2" s="1"/>
  <c r="N51" i="2" s="1"/>
  <c r="O48" i="2" l="1"/>
  <c r="O52" i="2"/>
  <c r="N55" i="2"/>
  <c r="O44" i="2" l="1"/>
  <c r="O45" i="2" s="1"/>
  <c r="O47" i="2" s="1"/>
  <c r="O49" i="2" s="1"/>
  <c r="O50" i="2" s="1"/>
  <c r="O51" i="2" s="1"/>
  <c r="O54" i="2"/>
  <c r="P48" i="2" l="1"/>
  <c r="P52" i="2"/>
  <c r="O55" i="2"/>
  <c r="P44" i="2" l="1"/>
  <c r="P45" i="2" s="1"/>
  <c r="P49" i="2" s="1"/>
  <c r="P50" i="2" s="1"/>
  <c r="P51" i="2" s="1"/>
  <c r="P54" i="2"/>
  <c r="Q48" i="2" l="1"/>
  <c r="Q52" i="2"/>
  <c r="P55" i="2"/>
  <c r="Q44" i="2" l="1"/>
  <c r="Q45" i="2" s="1"/>
  <c r="Q47" i="2" s="1"/>
  <c r="Q54" i="2"/>
  <c r="Q49" i="2" l="1"/>
  <c r="Q50" i="2" s="1"/>
  <c r="Q51" i="2" s="1"/>
  <c r="R48" i="2" l="1"/>
  <c r="R52" i="2"/>
  <c r="Q55" i="2"/>
  <c r="R44" i="2" l="1"/>
  <c r="R45" i="2" s="1"/>
  <c r="R47" i="2" s="1"/>
  <c r="R54" i="2"/>
  <c r="R49" i="2" l="1"/>
  <c r="R50" i="2" s="1"/>
  <c r="R51" i="2" s="1"/>
  <c r="S48" i="2" l="1"/>
  <c r="S52" i="2"/>
  <c r="R55" i="2"/>
  <c r="S44" i="2" l="1"/>
  <c r="S45" i="2" s="1"/>
  <c r="S47" i="2" s="1"/>
  <c r="S49" i="2" s="1"/>
  <c r="S50" i="2" s="1"/>
  <c r="S51" i="2" s="1"/>
  <c r="S54" i="2"/>
  <c r="T48" i="2" l="1"/>
  <c r="T52" i="2"/>
  <c r="S55" i="2"/>
  <c r="T44" i="2" l="1"/>
  <c r="T45" i="2" s="1"/>
  <c r="T49" i="2" s="1"/>
  <c r="T50" i="2" s="1"/>
  <c r="T51" i="2" s="1"/>
  <c r="T54" i="2"/>
  <c r="U48" i="2" l="1"/>
  <c r="U52" i="2"/>
  <c r="T55" i="2"/>
  <c r="U44" i="2" l="1"/>
  <c r="U45" i="2" s="1"/>
  <c r="U47" i="2" s="1"/>
  <c r="U54" i="2"/>
  <c r="U49" i="2" l="1"/>
  <c r="U50" i="2" s="1"/>
  <c r="U51" i="2" s="1"/>
  <c r="V48" i="2" l="1"/>
  <c r="V52" i="2"/>
  <c r="U55" i="2"/>
  <c r="V44" i="2" l="1"/>
  <c r="V45" i="2" s="1"/>
  <c r="V47" i="2" s="1"/>
  <c r="V54" i="2"/>
  <c r="V49" i="2" l="1"/>
  <c r="V50" i="2" s="1"/>
  <c r="V51" i="2" s="1"/>
  <c r="W48" i="2" l="1"/>
  <c r="W52" i="2"/>
  <c r="V55" i="2"/>
  <c r="W44" i="2" l="1"/>
  <c r="W45" i="2" s="1"/>
  <c r="W47" i="2" s="1"/>
  <c r="W49" i="2" s="1"/>
  <c r="W50" i="2" s="1"/>
  <c r="W51" i="2" s="1"/>
  <c r="W54" i="2"/>
  <c r="X48" i="2" l="1"/>
  <c r="X52" i="2"/>
  <c r="W55" i="2"/>
  <c r="X44" i="2" l="1"/>
  <c r="X45" i="2" s="1"/>
  <c r="X49" i="2" s="1"/>
  <c r="X50" i="2" s="1"/>
  <c r="X51" i="2" s="1"/>
  <c r="X55" i="2" s="1"/>
  <c r="X54" i="2"/>
</calcChain>
</file>

<file path=xl/sharedStrings.xml><?xml version="1.0" encoding="utf-8"?>
<sst xmlns="http://schemas.openxmlformats.org/spreadsheetml/2006/main" count="85" uniqueCount="80">
  <si>
    <t>Review short-cut keys</t>
  </si>
  <si>
    <t>Shift, SPACE then Shift,CNTL,+</t>
  </si>
  <si>
    <t xml:space="preserve">Shift, F11 </t>
  </si>
  <si>
    <t>New Page</t>
  </si>
  <si>
    <t>Inserting Line</t>
  </si>
  <si>
    <t xml:space="preserve">CNTL, D </t>
  </si>
  <si>
    <t>CNTL,Z</t>
  </si>
  <si>
    <t>Undo</t>
  </si>
  <si>
    <t>CNTL,Y</t>
  </si>
  <si>
    <t>Redo</t>
  </si>
  <si>
    <t>CNTL, N</t>
  </si>
  <si>
    <t>Shift, SPACE then Shift,CNTL,-</t>
  </si>
  <si>
    <t>Delete Line</t>
  </si>
  <si>
    <t>CNTL, R</t>
  </si>
  <si>
    <t>Copy Right (After Selection)</t>
  </si>
  <si>
    <t>Copy Down (After Selection)</t>
  </si>
  <si>
    <t>Shift, Right or Shift, Left or Shift Down</t>
  </si>
  <si>
    <t>Make Selection</t>
  </si>
  <si>
    <t>New Sheet</t>
  </si>
  <si>
    <t>CFADS</t>
  </si>
  <si>
    <t>EBITDA</t>
  </si>
  <si>
    <t xml:space="preserve">Shift,CNTL,1 </t>
  </si>
  <si>
    <t>ATL,E,I,S</t>
  </si>
  <si>
    <t>CNTL, SPACE</t>
  </si>
  <si>
    <t>Growth</t>
  </si>
  <si>
    <t>SHIFT,CNTL, F3</t>
  </si>
  <si>
    <t>Project Finance</t>
  </si>
  <si>
    <t>Debt Service</t>
  </si>
  <si>
    <t>DSCR Achieved</t>
  </si>
  <si>
    <t>Min DSCR</t>
  </si>
  <si>
    <t>Target DSCR</t>
  </si>
  <si>
    <t>Target Debt Service</t>
  </si>
  <si>
    <t>F5</t>
  </si>
  <si>
    <t>F5,Special</t>
  </si>
  <si>
    <t>F11</t>
  </si>
  <si>
    <t>Alt,E,L</t>
  </si>
  <si>
    <t>Assumptions</t>
  </si>
  <si>
    <t>Corporate Finance</t>
  </si>
  <si>
    <t>Shift,CNTL,2</t>
  </si>
  <si>
    <t>Two Decimals Format</t>
  </si>
  <si>
    <t>Time Format</t>
  </si>
  <si>
    <t>Date Format</t>
  </si>
  <si>
    <t>Shift,CNTL,3</t>
  </si>
  <si>
    <t>Shift,CNTL,4</t>
  </si>
  <si>
    <t>Currency Format</t>
  </si>
  <si>
    <t>Shift,CNTL,5</t>
  </si>
  <si>
    <t>Decimal Format</t>
  </si>
  <si>
    <t>Fill in Numbers</t>
  </si>
  <si>
    <t>Select Row</t>
  </si>
  <si>
    <t>Select Column</t>
  </si>
  <si>
    <t>Range Name Define</t>
  </si>
  <si>
    <t>CNTL, F3</t>
  </si>
  <si>
    <t>Range Name List</t>
  </si>
  <si>
    <t>Go to</t>
  </si>
  <si>
    <t>Can go to all constants for colouring</t>
  </si>
  <si>
    <t>Graph on new page</t>
  </si>
  <si>
    <t>ALT F1</t>
  </si>
  <si>
    <t>Graph on Same Page</t>
  </si>
  <si>
    <t>Delete Sheet</t>
  </si>
  <si>
    <t>F12</t>
  </si>
  <si>
    <t>Save As</t>
  </si>
  <si>
    <t>Re-finance Year</t>
  </si>
  <si>
    <t>Interest Rate</t>
  </si>
  <si>
    <t>Interest</t>
  </si>
  <si>
    <t>Payment of Debt</t>
  </si>
  <si>
    <t xml:space="preserve">Cap Exp </t>
  </si>
  <si>
    <t>Accumulated Cash Flow to Re-finance</t>
  </si>
  <si>
    <t>Less: Accumulated Cash Flow</t>
  </si>
  <si>
    <t>New Debt Requirement</t>
  </si>
  <si>
    <t>Debt Balance</t>
  </si>
  <si>
    <t>Cash Flow (FFO)</t>
  </si>
  <si>
    <t>Initial Debt</t>
  </si>
  <si>
    <t>Remaining to Re-finance</t>
  </si>
  <si>
    <t>Forward to Re-finance</t>
  </si>
  <si>
    <t>Debt/EBITDA</t>
  </si>
  <si>
    <t>PF Volatility</t>
  </si>
  <si>
    <t>Capital Expenditure</t>
  </si>
  <si>
    <t>EBITDA/Interest</t>
  </si>
  <si>
    <t>Corporate Volatility</t>
  </si>
  <si>
    <t>Corporate Cap Exp Volatility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</si>
</sst>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56"/>
        <bgColor indexed="56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Fill="1"/>
    <xf numFmtId="4" fontId="3" fillId="0" borderId="0" xfId="0" applyNumberFormat="1" applyFont="1" applyFill="1"/>
    <xf numFmtId="0" fontId="4" fillId="0" borderId="1" xfId="0" applyFont="1" applyFill="1" applyBorder="1"/>
    <xf numFmtId="4" fontId="4" fillId="0" borderId="2" xfId="0" applyNumberFormat="1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4" fontId="3" fillId="0" borderId="3" xfId="0" applyNumberFormat="1" applyFont="1" applyFill="1" applyBorder="1"/>
    <xf numFmtId="4" fontId="3" fillId="0" borderId="2" xfId="0" applyNumberFormat="1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5" fillId="2" borderId="0" xfId="0" applyFont="1" applyFill="1"/>
    <xf numFmtId="0" fontId="6" fillId="3" borderId="0" xfId="0" applyFont="1" applyFill="1"/>
    <xf numFmtId="10" fontId="5" fillId="2" borderId="0" xfId="0" applyNumberFormat="1" applyFont="1" applyFill="1"/>
    <xf numFmtId="165" fontId="3" fillId="0" borderId="3" xfId="1" applyNumberFormat="1" applyFont="1" applyFill="1" applyBorder="1"/>
    <xf numFmtId="165" fontId="3" fillId="0" borderId="2" xfId="1" applyNumberFormat="1" applyFont="1" applyFill="1" applyBorder="1"/>
    <xf numFmtId="0" fontId="1" fillId="4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Finance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82337695265732"/>
          <c:y val="0.18209702660406887"/>
          <c:w val="0.81424281267167187"/>
          <c:h val="0.70398580459132754"/>
        </c:manualLayout>
      </c:layout>
      <c:areaChart>
        <c:grouping val="standard"/>
        <c:varyColors val="0"/>
        <c:ser>
          <c:idx val="0"/>
          <c:order val="0"/>
          <c:tx>
            <c:strRef>
              <c:f>'PF and CF Exercise'!$B$31:$D$31</c:f>
              <c:strCache>
                <c:ptCount val="3"/>
                <c:pt idx="0">
                  <c:v>CFADS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'PF and CF Exercise'!$E$30:$X$30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'PF and CF Exercise'!$E$31:$X$31</c:f>
              <c:numCache>
                <c:formatCode>#,##0.00</c:formatCode>
                <c:ptCount val="20"/>
                <c:pt idx="0">
                  <c:v>100</c:v>
                </c:pt>
                <c:pt idx="1">
                  <c:v>105.02065462604028</c:v>
                </c:pt>
                <c:pt idx="2">
                  <c:v>110.28004326662182</c:v>
                </c:pt>
                <c:pt idx="3">
                  <c:v>115.79899441829515</c:v>
                </c:pt>
                <c:pt idx="4">
                  <c:v>121.57934514987319</c:v>
                </c:pt>
                <c:pt idx="5">
                  <c:v>127.65134802611306</c:v>
                </c:pt>
                <c:pt idx="6">
                  <c:v>134.03889575054598</c:v>
                </c:pt>
                <c:pt idx="7">
                  <c:v>140.70934833574771</c:v>
                </c:pt>
                <c:pt idx="8">
                  <c:v>147.73458535805739</c:v>
                </c:pt>
                <c:pt idx="9">
                  <c:v>155.10159598629537</c:v>
                </c:pt>
                <c:pt idx="10">
                  <c:v>162.83427155906071</c:v>
                </c:pt>
                <c:pt idx="11">
                  <c:v>170.99464393941386</c:v>
                </c:pt>
                <c:pt idx="12">
                  <c:v>179.5444576208188</c:v>
                </c:pt>
                <c:pt idx="13">
                  <c:v>188.5416553671875</c:v>
                </c:pt>
                <c:pt idx="14">
                  <c:v>197.99127297463974</c:v>
                </c:pt>
                <c:pt idx="15">
                  <c:v>207.89733829916003</c:v>
                </c:pt>
                <c:pt idx="16">
                  <c:v>218.28723848720691</c:v>
                </c:pt>
                <c:pt idx="17">
                  <c:v>229.19039977736321</c:v>
                </c:pt>
                <c:pt idx="18">
                  <c:v>240.64065200098142</c:v>
                </c:pt>
                <c:pt idx="19">
                  <c:v>252.67537509983057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2-41A3-89A0-FA9C9B9BF46F}"/>
            </c:ext>
          </c:extLst>
        </c:ser>
        <c:ser>
          <c:idx val="1"/>
          <c:order val="1"/>
          <c:tx>
            <c:strRef>
              <c:f>'PF and CF Exercise'!$B$32:$D$32</c:f>
              <c:strCache>
                <c:ptCount val="3"/>
                <c:pt idx="0">
                  <c:v>Debt Service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'PF and CF Exercise'!$E$30:$X$30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'PF and CF Exercise'!$E$32:$X$32</c:f>
              <c:numCache>
                <c:formatCode>#,##0.00</c:formatCode>
                <c:ptCount val="20"/>
                <c:pt idx="0">
                  <c:v>76.92307692307692</c:v>
                </c:pt>
                <c:pt idx="1">
                  <c:v>80.769230769230774</c:v>
                </c:pt>
                <c:pt idx="2">
                  <c:v>84.807692307692321</c:v>
                </c:pt>
                <c:pt idx="3">
                  <c:v>89.048076923076934</c:v>
                </c:pt>
                <c:pt idx="4">
                  <c:v>93.500480769230791</c:v>
                </c:pt>
                <c:pt idx="5">
                  <c:v>98.175504807692334</c:v>
                </c:pt>
                <c:pt idx="6">
                  <c:v>103.08428004807696</c:v>
                </c:pt>
                <c:pt idx="7">
                  <c:v>108.23849405048081</c:v>
                </c:pt>
                <c:pt idx="8">
                  <c:v>113.65041875300486</c:v>
                </c:pt>
                <c:pt idx="9">
                  <c:v>119.33293969065511</c:v>
                </c:pt>
                <c:pt idx="10">
                  <c:v>125.29958667518787</c:v>
                </c:pt>
                <c:pt idx="11">
                  <c:v>131.56456600894725</c:v>
                </c:pt>
                <c:pt idx="12">
                  <c:v>138.14279430939462</c:v>
                </c:pt>
                <c:pt idx="13">
                  <c:v>145.04993402486434</c:v>
                </c:pt>
                <c:pt idx="14">
                  <c:v>152.30243072610756</c:v>
                </c:pt>
                <c:pt idx="15">
                  <c:v>159.91755226241295</c:v>
                </c:pt>
                <c:pt idx="16">
                  <c:v>167.91342987553361</c:v>
                </c:pt>
                <c:pt idx="17">
                  <c:v>176.3091013693103</c:v>
                </c:pt>
                <c:pt idx="18">
                  <c:v>185.12455643777582</c:v>
                </c:pt>
                <c:pt idx="19">
                  <c:v>194.38078425966461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2-41A3-89A0-FA9C9B9BF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30112"/>
        <c:axId val="616230576"/>
      </c:areaChart>
      <c:catAx>
        <c:axId val="2728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230576"/>
        <c:crosses val="autoZero"/>
        <c:auto val="1"/>
        <c:lblAlgn val="ctr"/>
        <c:lblOffset val="100"/>
        <c:noMultiLvlLbl val="0"/>
      </c:catAx>
      <c:valAx>
        <c:axId val="61623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30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64383812488556"/>
          <c:y val="0.18075043436471844"/>
          <c:w val="0.37378815474152688"/>
          <c:h val="9.6844293315559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Corporate Finance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9656811766454"/>
          <c:y val="0.19511858744929611"/>
          <c:w val="0.69900638835239937"/>
          <c:h val="0.69115103793843946"/>
        </c:manualLayout>
      </c:layout>
      <c:areaChart>
        <c:grouping val="standard"/>
        <c:varyColors val="0"/>
        <c:ser>
          <c:idx val="0"/>
          <c:order val="0"/>
          <c:tx>
            <c:strRef>
              <c:f>'PF and CF Exercise'!$B$42:$D$42</c:f>
              <c:strCache>
                <c:ptCount val="3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'PF and CF Exercise'!$E$37:$X$37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'PF and CF Exercise'!$E$42:$X$42</c:f>
              <c:numCache>
                <c:formatCode>#,##0.00</c:formatCode>
                <c:ptCount val="20"/>
                <c:pt idx="0" formatCode="General">
                  <c:v>100</c:v>
                </c:pt>
                <c:pt idx="1">
                  <c:v>96.839809126028356</c:v>
                </c:pt>
                <c:pt idx="2">
                  <c:v>124.25355852900276</c:v>
                </c:pt>
                <c:pt idx="3">
                  <c:v>144.1397379284748</c:v>
                </c:pt>
                <c:pt idx="4">
                  <c:v>93.942760765267053</c:v>
                </c:pt>
                <c:pt idx="5">
                  <c:v>123.69547370139099</c:v>
                </c:pt>
                <c:pt idx="6">
                  <c:v>135.98996894680812</c:v>
                </c:pt>
                <c:pt idx="7">
                  <c:v>167.81594990115701</c:v>
                </c:pt>
                <c:pt idx="8">
                  <c:v>184.73790129226197</c:v>
                </c:pt>
                <c:pt idx="9">
                  <c:v>162.23763590008701</c:v>
                </c:pt>
                <c:pt idx="10">
                  <c:v>157.08007728356537</c:v>
                </c:pt>
                <c:pt idx="11">
                  <c:v>157.61781035289638</c:v>
                </c:pt>
                <c:pt idx="12">
                  <c:v>142.16654051782581</c:v>
                </c:pt>
                <c:pt idx="13">
                  <c:v>82.143062921205924</c:v>
                </c:pt>
                <c:pt idx="14">
                  <c:v>65.141631035552521</c:v>
                </c:pt>
                <c:pt idx="15">
                  <c:v>60.241867834859391</c:v>
                </c:pt>
                <c:pt idx="16">
                  <c:v>54.970008173464251</c:v>
                </c:pt>
                <c:pt idx="17">
                  <c:v>68.954137054647092</c:v>
                </c:pt>
                <c:pt idx="18">
                  <c:v>55.612571448519049</c:v>
                </c:pt>
                <c:pt idx="19">
                  <c:v>43.843315626363037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C-48FA-BAE8-F4CEF41B71A0}"/>
            </c:ext>
          </c:extLst>
        </c:ser>
        <c:ser>
          <c:idx val="2"/>
          <c:order val="2"/>
          <c:tx>
            <c:strRef>
              <c:f>'PF and CF Exercise'!$B$52:$D$52</c:f>
              <c:strCache>
                <c:ptCount val="3"/>
                <c:pt idx="0">
                  <c:v>Interest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'PF and CF Exercise'!$E$37:$X$37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'PF and CF Exercise'!$E$52:$X$52</c:f>
              <c:numCache>
                <c:formatCode>#,##0.00</c:formatCode>
                <c:ptCount val="2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28.642176808149401</c:v>
                </c:pt>
                <c:pt idx="5">
                  <c:v>28.642176808149401</c:v>
                </c:pt>
                <c:pt idx="6">
                  <c:v>28.642176808149401</c:v>
                </c:pt>
                <c:pt idx="7">
                  <c:v>28.642176808149401</c:v>
                </c:pt>
                <c:pt idx="8">
                  <c:v>32.800018181095872</c:v>
                </c:pt>
                <c:pt idx="9">
                  <c:v>32.800018181095872</c:v>
                </c:pt>
                <c:pt idx="10">
                  <c:v>32.800018181095872</c:v>
                </c:pt>
                <c:pt idx="11">
                  <c:v>32.800018181095872</c:v>
                </c:pt>
                <c:pt idx="12">
                  <c:v>35.637543819031308</c:v>
                </c:pt>
                <c:pt idx="13">
                  <c:v>35.637543819031308</c:v>
                </c:pt>
                <c:pt idx="14">
                  <c:v>35.637543819031308</c:v>
                </c:pt>
                <c:pt idx="15">
                  <c:v>35.637543819031308</c:v>
                </c:pt>
                <c:pt idx="16">
                  <c:v>32.734202132095476</c:v>
                </c:pt>
                <c:pt idx="17">
                  <c:v>32.734202132095476</c:v>
                </c:pt>
                <c:pt idx="18">
                  <c:v>32.734202132095476</c:v>
                </c:pt>
                <c:pt idx="19">
                  <c:v>32.734202132095476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2C-48FA-BAE8-F4CEF41B7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956912"/>
        <c:axId val="913772384"/>
      </c:areaChart>
      <c:barChart>
        <c:barDir val="col"/>
        <c:grouping val="clustered"/>
        <c:varyColors val="0"/>
        <c:ser>
          <c:idx val="1"/>
          <c:order val="1"/>
          <c:tx>
            <c:strRef>
              <c:f>'PF and CF Exercise'!$B$50:$D$50</c:f>
              <c:strCache>
                <c:ptCount val="3"/>
                <c:pt idx="0">
                  <c:v>New Debt Requirement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'PF and CF Exercise'!$E$37:$X$37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'PF and CF Exercise'!$E$50:$X$50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572.84353616298802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656.00036362191747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712.7508763806261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654.68404264190951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565.28603116641455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C-48FA-BAE8-F4CEF41B7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1206928"/>
        <c:axId val="1135209152"/>
      </c:barChart>
      <c:catAx>
        <c:axId val="214295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772384"/>
        <c:crosses val="autoZero"/>
        <c:auto val="1"/>
        <c:lblAlgn val="ctr"/>
        <c:lblOffset val="100"/>
        <c:noMultiLvlLbl val="0"/>
      </c:catAx>
      <c:valAx>
        <c:axId val="9137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EBITDA and Interest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956912"/>
        <c:crosses val="autoZero"/>
        <c:crossBetween val="between"/>
      </c:valAx>
      <c:valAx>
        <c:axId val="113520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Re-financing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06928"/>
        <c:crosses val="max"/>
        <c:crossBetween val="between"/>
      </c:valAx>
      <c:catAx>
        <c:axId val="30120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20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983528021056061E-2"/>
          <c:y val="0.20750676652014602"/>
          <c:w val="0.74691863128781422"/>
          <c:h val="9.560969168223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'PF and CF Exercise'!$B$33:$D$33</c:f>
              <c:strCache>
                <c:ptCount val="3"/>
                <c:pt idx="0">
                  <c:v>DSCR Achieved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'PF and CF Exercise'!$E$30:$X$30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'PF and CF Exercise'!$E$33:$X$33</c:f>
              <c:numCache>
                <c:formatCode>#,##0.00</c:formatCode>
                <c:ptCount val="20"/>
                <c:pt idx="0">
                  <c:v>1.3</c:v>
                </c:pt>
                <c:pt idx="1">
                  <c:v>1.3002557239414509</c:v>
                </c:pt>
                <c:pt idx="2">
                  <c:v>1.3003542516699169</c:v>
                </c:pt>
                <c:pt idx="3">
                  <c:v>1.3004098282585783</c:v>
                </c:pt>
                <c:pt idx="4">
                  <c:v>1.3003071657989016</c:v>
                </c:pt>
                <c:pt idx="5">
                  <c:v>1.3002362277246087</c:v>
                </c:pt>
                <c:pt idx="6">
                  <c:v>1.3002845408439798</c:v>
                </c:pt>
                <c:pt idx="7">
                  <c:v>1.2999935888808927</c:v>
                </c:pt>
                <c:pt idx="8">
                  <c:v>1.299903572543162</c:v>
                </c:pt>
                <c:pt idx="9">
                  <c:v>1.2997383320008942</c:v>
                </c:pt>
                <c:pt idx="10">
                  <c:v>1.2995595267299118</c:v>
                </c:pt>
                <c:pt idx="11">
                  <c:v>1.2997013491291045</c:v>
                </c:pt>
                <c:pt idx="12">
                  <c:v>1.2997019389856703</c:v>
                </c:pt>
                <c:pt idx="13">
                  <c:v>1.2998396492539448</c:v>
                </c:pt>
                <c:pt idx="14">
                  <c:v>1.2999876103796171</c:v>
                </c:pt>
                <c:pt idx="15">
                  <c:v>1.3000282668034824</c:v>
                </c:pt>
                <c:pt idx="16">
                  <c:v>1.299998687710763</c:v>
                </c:pt>
                <c:pt idx="17">
                  <c:v>1.2999351593159321</c:v>
                </c:pt>
                <c:pt idx="18">
                  <c:v>1.2998850969934164</c:v>
                </c:pt>
                <c:pt idx="19">
                  <c:v>1.2998989383759911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3-452A-B738-BA0E886B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5106960"/>
        <c:axId val="1139830544"/>
      </c:barChart>
      <c:catAx>
        <c:axId val="26510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830544"/>
        <c:crosses val="autoZero"/>
        <c:auto val="1"/>
        <c:lblAlgn val="ctr"/>
        <c:lblOffset val="100"/>
        <c:noMultiLvlLbl val="0"/>
      </c:catAx>
      <c:valAx>
        <c:axId val="113983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10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'PF and CF Exercise'!$B$55:$D$55</c:f>
              <c:strCache>
                <c:ptCount val="3"/>
                <c:pt idx="0">
                  <c:v>Debt/EBITDA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'PF and CF Exercise'!$E$37:$X$37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'PF and CF Exercise'!$E$55:$X$55</c:f>
              <c:numCache>
                <c:formatCode>#,##0.00</c:formatCode>
                <c:ptCount val="20"/>
                <c:pt idx="0">
                  <c:v>5</c:v>
                </c:pt>
                <c:pt idx="1">
                  <c:v>5.1631658975008374</c:v>
                </c:pt>
                <c:pt idx="2">
                  <c:v>4.0240296207153863</c:v>
                </c:pt>
                <c:pt idx="3">
                  <c:v>3.9742235166768873</c:v>
                </c:pt>
                <c:pt idx="4">
                  <c:v>6.0977932891959714</c:v>
                </c:pt>
                <c:pt idx="5">
                  <c:v>4.6310792062276258</c:v>
                </c:pt>
                <c:pt idx="6">
                  <c:v>4.2123955215185998</c:v>
                </c:pt>
                <c:pt idx="7">
                  <c:v>3.9090465716059728</c:v>
                </c:pt>
                <c:pt idx="8">
                  <c:v>3.5509787598165978</c:v>
                </c:pt>
                <c:pt idx="9">
                  <c:v>4.0434536658677089</c:v>
                </c:pt>
                <c:pt idx="10">
                  <c:v>4.1762162011016022</c:v>
                </c:pt>
                <c:pt idx="11">
                  <c:v>4.5220199086944657</c:v>
                </c:pt>
                <c:pt idx="12">
                  <c:v>5.0134924419241713</c:v>
                </c:pt>
                <c:pt idx="13">
                  <c:v>8.6769454538640467</c:v>
                </c:pt>
                <c:pt idx="14">
                  <c:v>10.941557112557193</c:v>
                </c:pt>
                <c:pt idx="15">
                  <c:v>10.867592028132167</c:v>
                </c:pt>
                <c:pt idx="16">
                  <c:v>11.909840736715518</c:v>
                </c:pt>
                <c:pt idx="17">
                  <c:v>9.4944853290392643</c:v>
                </c:pt>
                <c:pt idx="18">
                  <c:v>11.772231090733777</c:v>
                </c:pt>
                <c:pt idx="19">
                  <c:v>12.893323032040657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7-49F7-A440-844133286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321952"/>
        <c:axId val="913754240"/>
      </c:barChart>
      <c:catAx>
        <c:axId val="9132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754240"/>
        <c:crosses val="autoZero"/>
        <c:auto val="1"/>
        <c:lblAlgn val="ctr"/>
        <c:lblOffset val="100"/>
        <c:noMultiLvlLbl val="0"/>
      </c:catAx>
      <c:valAx>
        <c:axId val="91375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2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527050</xdr:colOff>
      <xdr:row>1</xdr:row>
      <xdr:rowOff>44450</xdr:rowOff>
    </xdr:from>
    <xdr:to>
      <xdr:col>9</xdr:col>
      <xdr:colOff>317500</xdr:colOff>
      <xdr:row>12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6664C3-EA14-44C9-883A-1B8EE02E38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1</xdr:row>
      <xdr:rowOff>19050</xdr:rowOff>
    </xdr:from>
    <xdr:to>
      <xdr:col>15</xdr:col>
      <xdr:colOff>69850</xdr:colOff>
      <xdr:row>12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FC5EE3-E1FE-47C4-9EC0-6ADABC817F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520700</xdr:colOff>
      <xdr:row>13</xdr:row>
      <xdr:rowOff>69850</xdr:rowOff>
    </xdr:from>
    <xdr:to>
      <xdr:col>9</xdr:col>
      <xdr:colOff>279400</xdr:colOff>
      <xdr:row>23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923ADE-6AB8-4C83-9871-2CA43F4C7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457200</xdr:colOff>
      <xdr:row>13</xdr:row>
      <xdr:rowOff>63500</xdr:rowOff>
    </xdr:from>
    <xdr:to>
      <xdr:col>15</xdr:col>
      <xdr:colOff>95250</xdr:colOff>
      <xdr:row>23</xdr:row>
      <xdr:rowOff>139700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675CE0-7947-4E2A-A59A-3101D2370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V18"/>
  <sheetViews>
    <sheetView showGridLines="0" zoomScale="40" zoomScaleNormal="40" workbookViewId="0">
      <selection activeCell="T25" sqref="T25"/>
    </sheetView>
  </sheetViews>
  <sheetFormatPr defaultRowHeight="26" x14ac:dyDescent="0.6"/>
  <cols>
    <col min="1" max="14" width="8.7265625" style="1"/>
    <col min="15" max="15" width="2.81640625" style="17" customWidth="1"/>
    <col min="16" max="16384" width="8.7265625" style="1"/>
  </cols>
  <sheetData>
    <row r="2" spans="2:22" x14ac:dyDescent="0.6">
      <c r="B2" s="1" t="s">
        <v>0</v>
      </c>
    </row>
    <row r="4" spans="2:22" x14ac:dyDescent="0.6">
      <c r="B4" s="1" t="s">
        <v>6</v>
      </c>
      <c r="I4" s="1" t="s">
        <v>7</v>
      </c>
      <c r="R4" s="1" t="s">
        <v>22</v>
      </c>
      <c r="V4" s="1" t="s">
        <v>47</v>
      </c>
    </row>
    <row r="5" spans="2:22" x14ac:dyDescent="0.6">
      <c r="B5" s="1" t="s">
        <v>8</v>
      </c>
      <c r="I5" s="1" t="s">
        <v>9</v>
      </c>
      <c r="R5" s="1" t="s">
        <v>23</v>
      </c>
      <c r="V5" s="1" t="s">
        <v>48</v>
      </c>
    </row>
    <row r="6" spans="2:22" x14ac:dyDescent="0.6">
      <c r="B6" s="1" t="s">
        <v>10</v>
      </c>
      <c r="I6" s="1" t="s">
        <v>3</v>
      </c>
      <c r="R6" s="1" t="s">
        <v>23</v>
      </c>
      <c r="V6" s="1" t="s">
        <v>49</v>
      </c>
    </row>
    <row r="7" spans="2:22" x14ac:dyDescent="0.6">
      <c r="B7" s="1" t="s">
        <v>2</v>
      </c>
      <c r="I7" s="1" t="s">
        <v>18</v>
      </c>
    </row>
    <row r="8" spans="2:22" x14ac:dyDescent="0.6">
      <c r="B8" s="1" t="s">
        <v>1</v>
      </c>
      <c r="I8" s="1" t="s">
        <v>4</v>
      </c>
      <c r="R8" s="1" t="s">
        <v>25</v>
      </c>
      <c r="V8" s="1" t="s">
        <v>50</v>
      </c>
    </row>
    <row r="9" spans="2:22" x14ac:dyDescent="0.6">
      <c r="B9" s="1" t="s">
        <v>11</v>
      </c>
      <c r="I9" s="1" t="s">
        <v>12</v>
      </c>
      <c r="R9" s="1" t="s">
        <v>51</v>
      </c>
      <c r="V9" s="1" t="s">
        <v>52</v>
      </c>
    </row>
    <row r="10" spans="2:22" x14ac:dyDescent="0.6">
      <c r="B10" s="1" t="s">
        <v>5</v>
      </c>
      <c r="I10" s="1" t="s">
        <v>15</v>
      </c>
    </row>
    <row r="11" spans="2:22" x14ac:dyDescent="0.6">
      <c r="B11" s="1" t="s">
        <v>13</v>
      </c>
      <c r="I11" s="1" t="s">
        <v>14</v>
      </c>
      <c r="R11" s="1" t="s">
        <v>32</v>
      </c>
      <c r="V11" s="1" t="s">
        <v>53</v>
      </c>
    </row>
    <row r="12" spans="2:22" x14ac:dyDescent="0.6">
      <c r="B12" s="1" t="s">
        <v>16</v>
      </c>
      <c r="I12" s="1" t="s">
        <v>17</v>
      </c>
      <c r="R12" s="1" t="s">
        <v>33</v>
      </c>
      <c r="V12" s="1" t="s">
        <v>54</v>
      </c>
    </row>
    <row r="14" spans="2:22" x14ac:dyDescent="0.6">
      <c r="B14" s="1" t="s">
        <v>21</v>
      </c>
      <c r="I14" s="1" t="s">
        <v>39</v>
      </c>
      <c r="R14" s="1" t="s">
        <v>34</v>
      </c>
      <c r="V14" s="1" t="s">
        <v>55</v>
      </c>
    </row>
    <row r="15" spans="2:22" x14ac:dyDescent="0.6">
      <c r="B15" s="1" t="s">
        <v>38</v>
      </c>
      <c r="I15" s="1" t="s">
        <v>40</v>
      </c>
      <c r="R15" s="1" t="s">
        <v>56</v>
      </c>
      <c r="V15" s="1" t="s">
        <v>57</v>
      </c>
    </row>
    <row r="16" spans="2:22" x14ac:dyDescent="0.6">
      <c r="B16" s="1" t="s">
        <v>42</v>
      </c>
      <c r="I16" s="1" t="s">
        <v>41</v>
      </c>
      <c r="R16" s="1" t="s">
        <v>35</v>
      </c>
      <c r="V16" s="1" t="s">
        <v>58</v>
      </c>
    </row>
    <row r="17" spans="2:22" x14ac:dyDescent="0.6">
      <c r="B17" s="1" t="s">
        <v>43</v>
      </c>
      <c r="I17" s="1" t="s">
        <v>44</v>
      </c>
    </row>
    <row r="18" spans="2:22" x14ac:dyDescent="0.6">
      <c r="B18" s="1" t="s">
        <v>45</v>
      </c>
      <c r="I18" s="1" t="s">
        <v>46</v>
      </c>
      <c r="R18" s="1" t="s">
        <v>59</v>
      </c>
      <c r="V18" s="1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55"/>
  <sheetViews>
    <sheetView showGridLines="0" tabSelected="1" zoomScale="70" zoomScaleNormal="70" workbookViewId="0">
      <selection activeCell="F13" sqref="F13"/>
    </sheetView>
  </sheetViews>
  <sheetFormatPr defaultColWidth="0" defaultRowHeight="14.5" outlineLevelRow="1" x14ac:dyDescent="0.35"/>
  <cols>
    <col min="1" max="1" width="1.36328125" style="2" customWidth="1"/>
    <col min="2" max="2" width="35.54296875" style="2" customWidth="1"/>
    <col min="3" max="4" width="8.7265625" style="2" customWidth="1"/>
    <col min="5" max="24" width="9.1796875" style="2" customWidth="1"/>
    <col min="25" max="16384" width="8.7265625" style="2" hidden="1"/>
  </cols>
  <sheetData>
    <row r="1" spans="1:3" s="13" customFormat="1" x14ac:dyDescent="0.35">
      <c r="A1" s="13" t="s">
        <v>36</v>
      </c>
    </row>
    <row r="2" spans="1:3" x14ac:dyDescent="0.35">
      <c r="B2" s="2" t="s">
        <v>19</v>
      </c>
      <c r="C2" s="10">
        <v>100</v>
      </c>
    </row>
    <row r="3" spans="1:3" x14ac:dyDescent="0.35">
      <c r="B3" s="2" t="s">
        <v>30</v>
      </c>
      <c r="C3" s="10">
        <v>1.3</v>
      </c>
    </row>
    <row r="4" spans="1:3" x14ac:dyDescent="0.35">
      <c r="B4" s="2" t="s">
        <v>31</v>
      </c>
      <c r="C4" s="3">
        <f>CFADS/Target_DSCR</f>
        <v>76.92307692307692</v>
      </c>
    </row>
    <row r="5" spans="1:3" x14ac:dyDescent="0.35">
      <c r="B5" s="2" t="s">
        <v>75</v>
      </c>
      <c r="C5" s="14">
        <v>1E-4</v>
      </c>
    </row>
    <row r="7" spans="1:3" x14ac:dyDescent="0.35">
      <c r="B7" s="2" t="s">
        <v>20</v>
      </c>
      <c r="C7" s="10">
        <v>100</v>
      </c>
    </row>
    <row r="8" spans="1:3" x14ac:dyDescent="0.35">
      <c r="B8" s="2" t="s">
        <v>24</v>
      </c>
      <c r="C8" s="14">
        <v>0.05</v>
      </c>
    </row>
    <row r="9" spans="1:3" x14ac:dyDescent="0.35">
      <c r="B9" s="2" t="s">
        <v>78</v>
      </c>
      <c r="C9" s="14">
        <v>0.2</v>
      </c>
    </row>
    <row r="10" spans="1:3" x14ac:dyDescent="0.35">
      <c r="B10" s="2" t="s">
        <v>79</v>
      </c>
      <c r="C10" s="14">
        <v>2E-3</v>
      </c>
    </row>
    <row r="12" spans="1:3" x14ac:dyDescent="0.35">
      <c r="B12" s="2" t="s">
        <v>61</v>
      </c>
      <c r="C12" s="12">
        <v>4</v>
      </c>
    </row>
    <row r="13" spans="1:3" x14ac:dyDescent="0.35">
      <c r="B13" s="2" t="s">
        <v>62</v>
      </c>
      <c r="C13" s="11">
        <v>0.05</v>
      </c>
    </row>
    <row r="14" spans="1:3" x14ac:dyDescent="0.35">
      <c r="B14" s="2" t="s">
        <v>71</v>
      </c>
      <c r="C14" s="12">
        <v>500</v>
      </c>
    </row>
    <row r="15" spans="1:3" x14ac:dyDescent="0.35">
      <c r="B15" s="2" t="s">
        <v>76</v>
      </c>
      <c r="C15" s="12">
        <v>40</v>
      </c>
    </row>
    <row r="29" spans="1:24" s="13" customFormat="1" outlineLevel="1" x14ac:dyDescent="0.35">
      <c r="A29" s="13" t="s">
        <v>26</v>
      </c>
    </row>
    <row r="30" spans="1:24" outlineLevel="1" x14ac:dyDescent="0.35">
      <c r="E30" s="12">
        <v>1</v>
      </c>
      <c r="F30" s="12">
        <v>2</v>
      </c>
      <c r="G30" s="12">
        <v>3</v>
      </c>
      <c r="H30" s="12">
        <v>4</v>
      </c>
      <c r="I30" s="12">
        <v>5</v>
      </c>
      <c r="J30" s="12">
        <v>6</v>
      </c>
      <c r="K30" s="12">
        <v>7</v>
      </c>
      <c r="L30" s="12">
        <v>8</v>
      </c>
      <c r="M30" s="12">
        <v>9</v>
      </c>
      <c r="N30" s="12">
        <v>10</v>
      </c>
      <c r="O30" s="12">
        <v>11</v>
      </c>
      <c r="P30" s="12">
        <v>12</v>
      </c>
      <c r="Q30" s="12">
        <v>13</v>
      </c>
      <c r="R30" s="12">
        <v>14</v>
      </c>
      <c r="S30" s="12">
        <v>15</v>
      </c>
      <c r="T30" s="12">
        <v>16</v>
      </c>
      <c r="U30" s="12">
        <v>17</v>
      </c>
      <c r="V30" s="12">
        <v>18</v>
      </c>
      <c r="W30" s="12">
        <v>19</v>
      </c>
      <c r="X30" s="12">
        <v>20</v>
      </c>
    </row>
    <row r="31" spans="1:24" outlineLevel="1" x14ac:dyDescent="0.35">
      <c r="B31" s="2" t="s">
        <v>19</v>
      </c>
      <c r="E31" s="3">
        <f>CFADS</f>
        <v>100</v>
      </c>
      <c r="F31" s="3">
        <f ca="1">E31+E31*(Growth)+E31*PF_Volatility*NORMSINV(RAND())</f>
        <v>105.02065462604028</v>
      </c>
      <c r="G31" s="3">
        <f t="shared" ref="G31:X31" ca="1" si="0">F31+F31*(Growth)+F31*PF_Volatility*NORMSINV(RAND())</f>
        <v>110.28004326662182</v>
      </c>
      <c r="H31" s="3">
        <f t="shared" ca="1" si="0"/>
        <v>115.79899441829515</v>
      </c>
      <c r="I31" s="3">
        <f t="shared" ca="1" si="0"/>
        <v>121.57934514987319</v>
      </c>
      <c r="J31" s="3">
        <f t="shared" ca="1" si="0"/>
        <v>127.65134802611306</v>
      </c>
      <c r="K31" s="3">
        <f t="shared" ca="1" si="0"/>
        <v>134.03889575054598</v>
      </c>
      <c r="L31" s="3">
        <f t="shared" ca="1" si="0"/>
        <v>140.70934833574771</v>
      </c>
      <c r="M31" s="3">
        <f t="shared" ca="1" si="0"/>
        <v>147.73458535805739</v>
      </c>
      <c r="N31" s="3">
        <f t="shared" ca="1" si="0"/>
        <v>155.10159598629537</v>
      </c>
      <c r="O31" s="3">
        <f t="shared" ca="1" si="0"/>
        <v>162.83427155906071</v>
      </c>
      <c r="P31" s="3">
        <f t="shared" ca="1" si="0"/>
        <v>170.99464393941386</v>
      </c>
      <c r="Q31" s="3">
        <f t="shared" ca="1" si="0"/>
        <v>179.5444576208188</v>
      </c>
      <c r="R31" s="3">
        <f t="shared" ca="1" si="0"/>
        <v>188.5416553671875</v>
      </c>
      <c r="S31" s="3">
        <f t="shared" ca="1" si="0"/>
        <v>197.99127297463974</v>
      </c>
      <c r="T31" s="3">
        <f t="shared" ca="1" si="0"/>
        <v>207.89733829916003</v>
      </c>
      <c r="U31" s="3">
        <f t="shared" ca="1" si="0"/>
        <v>218.28723848720691</v>
      </c>
      <c r="V31" s="3">
        <f t="shared" ca="1" si="0"/>
        <v>229.19039977736321</v>
      </c>
      <c r="W31" s="3">
        <f t="shared" ca="1" si="0"/>
        <v>240.64065200098142</v>
      </c>
      <c r="X31" s="3">
        <f t="shared" ca="1" si="0"/>
        <v>252.67537509983057</v>
      </c>
    </row>
    <row r="32" spans="1:24" outlineLevel="1" x14ac:dyDescent="0.35">
      <c r="B32" s="2" t="s">
        <v>27</v>
      </c>
      <c r="E32" s="3">
        <f>Target_Debt_Service</f>
        <v>76.92307692307692</v>
      </c>
      <c r="F32" s="3">
        <f t="shared" ref="F32:X32" si="1">E32*(1+Growth)</f>
        <v>80.769230769230774</v>
      </c>
      <c r="G32" s="3">
        <f t="shared" si="1"/>
        <v>84.807692307692321</v>
      </c>
      <c r="H32" s="3">
        <f t="shared" si="1"/>
        <v>89.048076923076934</v>
      </c>
      <c r="I32" s="3">
        <f t="shared" si="1"/>
        <v>93.500480769230791</v>
      </c>
      <c r="J32" s="3">
        <f t="shared" si="1"/>
        <v>98.175504807692334</v>
      </c>
      <c r="K32" s="3">
        <f t="shared" si="1"/>
        <v>103.08428004807696</v>
      </c>
      <c r="L32" s="3">
        <f t="shared" si="1"/>
        <v>108.23849405048081</v>
      </c>
      <c r="M32" s="3">
        <f t="shared" si="1"/>
        <v>113.65041875300486</v>
      </c>
      <c r="N32" s="3">
        <f t="shared" si="1"/>
        <v>119.33293969065511</v>
      </c>
      <c r="O32" s="3">
        <f t="shared" si="1"/>
        <v>125.29958667518787</v>
      </c>
      <c r="P32" s="3">
        <f t="shared" si="1"/>
        <v>131.56456600894725</v>
      </c>
      <c r="Q32" s="3">
        <f t="shared" si="1"/>
        <v>138.14279430939462</v>
      </c>
      <c r="R32" s="3">
        <f t="shared" si="1"/>
        <v>145.04993402486434</v>
      </c>
      <c r="S32" s="3">
        <f t="shared" si="1"/>
        <v>152.30243072610756</v>
      </c>
      <c r="T32" s="3">
        <f t="shared" si="1"/>
        <v>159.91755226241295</v>
      </c>
      <c r="U32" s="3">
        <f t="shared" si="1"/>
        <v>167.91342987553361</v>
      </c>
      <c r="V32" s="3">
        <f t="shared" si="1"/>
        <v>176.3091013693103</v>
      </c>
      <c r="W32" s="3">
        <f t="shared" si="1"/>
        <v>185.12455643777582</v>
      </c>
      <c r="X32" s="3">
        <f t="shared" si="1"/>
        <v>194.38078425966461</v>
      </c>
    </row>
    <row r="33" spans="1:34" outlineLevel="1" x14ac:dyDescent="0.35">
      <c r="B33" s="2" t="s">
        <v>28</v>
      </c>
      <c r="E33" s="3">
        <f>E31/E32</f>
        <v>1.3</v>
      </c>
      <c r="F33" s="3">
        <f t="shared" ref="F33:X33" ca="1" si="2">F31/F32</f>
        <v>1.3002557239414509</v>
      </c>
      <c r="G33" s="3">
        <f t="shared" ca="1" si="2"/>
        <v>1.3003542516699169</v>
      </c>
      <c r="H33" s="3">
        <f t="shared" ca="1" si="2"/>
        <v>1.3004098282585783</v>
      </c>
      <c r="I33" s="3">
        <f t="shared" ca="1" si="2"/>
        <v>1.3003071657989016</v>
      </c>
      <c r="J33" s="3">
        <f t="shared" ca="1" si="2"/>
        <v>1.3002362277246087</v>
      </c>
      <c r="K33" s="3">
        <f t="shared" ca="1" si="2"/>
        <v>1.3002845408439798</v>
      </c>
      <c r="L33" s="3">
        <f t="shared" ca="1" si="2"/>
        <v>1.2999935888808927</v>
      </c>
      <c r="M33" s="3">
        <f t="shared" ca="1" si="2"/>
        <v>1.299903572543162</v>
      </c>
      <c r="N33" s="3">
        <f t="shared" ca="1" si="2"/>
        <v>1.2997383320008942</v>
      </c>
      <c r="O33" s="3">
        <f t="shared" ca="1" si="2"/>
        <v>1.2995595267299118</v>
      </c>
      <c r="P33" s="3">
        <f t="shared" ca="1" si="2"/>
        <v>1.2997013491291045</v>
      </c>
      <c r="Q33" s="3">
        <f t="shared" ca="1" si="2"/>
        <v>1.2997019389856703</v>
      </c>
      <c r="R33" s="3">
        <f t="shared" ca="1" si="2"/>
        <v>1.2998396492539448</v>
      </c>
      <c r="S33" s="3">
        <f t="shared" ca="1" si="2"/>
        <v>1.2999876103796171</v>
      </c>
      <c r="T33" s="3">
        <f t="shared" ca="1" si="2"/>
        <v>1.3000282668034824</v>
      </c>
      <c r="U33" s="3">
        <f t="shared" ca="1" si="2"/>
        <v>1.299998687710763</v>
      </c>
      <c r="V33" s="3">
        <f t="shared" ca="1" si="2"/>
        <v>1.2999351593159321</v>
      </c>
      <c r="W33" s="3">
        <f t="shared" ca="1" si="2"/>
        <v>1.2998850969934164</v>
      </c>
      <c r="X33" s="3">
        <f t="shared" ca="1" si="2"/>
        <v>1.2998989383759911</v>
      </c>
    </row>
    <row r="34" spans="1:34" outlineLevel="1" x14ac:dyDescent="0.35"/>
    <row r="35" spans="1:34" outlineLevel="1" x14ac:dyDescent="0.35">
      <c r="B35" s="4" t="s">
        <v>29</v>
      </c>
      <c r="C35" s="5">
        <f ca="1">MIN(33:33)</f>
        <v>1.2995595267299118</v>
      </c>
    </row>
    <row r="36" spans="1:34" outlineLevel="1" x14ac:dyDescent="0.35"/>
    <row r="37" spans="1:34" s="13" customFormat="1" x14ac:dyDescent="0.35">
      <c r="A37" s="13" t="s">
        <v>37</v>
      </c>
      <c r="E37" s="13">
        <v>1</v>
      </c>
      <c r="F37" s="13">
        <v>2</v>
      </c>
      <c r="G37" s="13">
        <v>3</v>
      </c>
      <c r="H37" s="13">
        <v>4</v>
      </c>
      <c r="I37" s="13">
        <v>5</v>
      </c>
      <c r="J37" s="13">
        <v>6</v>
      </c>
      <c r="K37" s="13">
        <v>7</v>
      </c>
      <c r="L37" s="13">
        <v>8</v>
      </c>
      <c r="M37" s="13">
        <v>9</v>
      </c>
      <c r="N37" s="13">
        <v>10</v>
      </c>
      <c r="O37" s="13">
        <v>11</v>
      </c>
      <c r="P37" s="13">
        <v>12</v>
      </c>
      <c r="Q37" s="13">
        <v>13</v>
      </c>
      <c r="R37" s="13">
        <v>14</v>
      </c>
      <c r="S37" s="13">
        <v>15</v>
      </c>
      <c r="T37" s="13">
        <v>16</v>
      </c>
      <c r="U37" s="13">
        <v>17</v>
      </c>
      <c r="V37" s="13">
        <v>18</v>
      </c>
      <c r="W37" s="13">
        <v>19</v>
      </c>
      <c r="X37" s="13">
        <v>20</v>
      </c>
      <c r="Y37" s="13">
        <v>21</v>
      </c>
      <c r="Z37" s="13">
        <v>22</v>
      </c>
      <c r="AA37" s="13">
        <v>23</v>
      </c>
      <c r="AB37" s="13">
        <v>24</v>
      </c>
      <c r="AC37" s="13">
        <v>25</v>
      </c>
      <c r="AD37" s="13">
        <v>26</v>
      </c>
      <c r="AE37" s="13">
        <v>27</v>
      </c>
      <c r="AF37" s="13">
        <v>28</v>
      </c>
      <c r="AG37" s="13">
        <v>29</v>
      </c>
      <c r="AH37" s="13">
        <v>30</v>
      </c>
    </row>
    <row r="38" spans="1:34" x14ac:dyDescent="0.35">
      <c r="B38" s="2" t="s">
        <v>61</v>
      </c>
      <c r="D38" s="2">
        <f>C12</f>
        <v>4</v>
      </c>
      <c r="E38" s="2" t="b">
        <f t="shared" ref="E38:X38" si="3">MOD(E30,$D$38)=0</f>
        <v>0</v>
      </c>
      <c r="F38" s="2" t="b">
        <f t="shared" si="3"/>
        <v>0</v>
      </c>
      <c r="G38" s="2" t="b">
        <f t="shared" si="3"/>
        <v>0</v>
      </c>
      <c r="H38" s="2" t="b">
        <f t="shared" si="3"/>
        <v>1</v>
      </c>
      <c r="I38" s="2" t="b">
        <f t="shared" si="3"/>
        <v>0</v>
      </c>
      <c r="J38" s="2" t="b">
        <f t="shared" si="3"/>
        <v>0</v>
      </c>
      <c r="K38" s="2" t="b">
        <f t="shared" si="3"/>
        <v>0</v>
      </c>
      <c r="L38" s="2" t="b">
        <f t="shared" si="3"/>
        <v>1</v>
      </c>
      <c r="M38" s="2" t="b">
        <f t="shared" si="3"/>
        <v>0</v>
      </c>
      <c r="N38" s="2" t="b">
        <f t="shared" si="3"/>
        <v>0</v>
      </c>
      <c r="O38" s="2" t="b">
        <f t="shared" si="3"/>
        <v>0</v>
      </c>
      <c r="P38" s="2" t="b">
        <f t="shared" si="3"/>
        <v>1</v>
      </c>
      <c r="Q38" s="2" t="b">
        <f t="shared" si="3"/>
        <v>0</v>
      </c>
      <c r="R38" s="2" t="b">
        <f t="shared" si="3"/>
        <v>0</v>
      </c>
      <c r="S38" s="2" t="b">
        <f t="shared" si="3"/>
        <v>0</v>
      </c>
      <c r="T38" s="2" t="b">
        <f t="shared" si="3"/>
        <v>1</v>
      </c>
      <c r="U38" s="2" t="b">
        <f t="shared" si="3"/>
        <v>0</v>
      </c>
      <c r="V38" s="2" t="b">
        <f t="shared" si="3"/>
        <v>0</v>
      </c>
      <c r="W38" s="2" t="b">
        <f t="shared" si="3"/>
        <v>0</v>
      </c>
      <c r="X38" s="2" t="b">
        <f t="shared" si="3"/>
        <v>1</v>
      </c>
    </row>
    <row r="39" spans="1:34" x14ac:dyDescent="0.35">
      <c r="B39" s="2" t="s">
        <v>72</v>
      </c>
      <c r="D39" s="2">
        <f>D38</f>
        <v>4</v>
      </c>
      <c r="E39" s="2">
        <f t="shared" ref="E39:X39" si="4">IF(E38,Re_finance_Year,D39-1)</f>
        <v>3</v>
      </c>
      <c r="F39" s="2">
        <f t="shared" si="4"/>
        <v>2</v>
      </c>
      <c r="G39" s="2">
        <f t="shared" si="4"/>
        <v>1</v>
      </c>
      <c r="H39" s="2">
        <f t="shared" si="4"/>
        <v>4</v>
      </c>
      <c r="I39" s="2">
        <f t="shared" si="4"/>
        <v>3</v>
      </c>
      <c r="J39" s="2">
        <f t="shared" si="4"/>
        <v>2</v>
      </c>
      <c r="K39" s="2">
        <f t="shared" si="4"/>
        <v>1</v>
      </c>
      <c r="L39" s="2">
        <f t="shared" si="4"/>
        <v>4</v>
      </c>
      <c r="M39" s="2">
        <f t="shared" si="4"/>
        <v>3</v>
      </c>
      <c r="N39" s="2">
        <f t="shared" si="4"/>
        <v>2</v>
      </c>
      <c r="O39" s="2">
        <f t="shared" si="4"/>
        <v>1</v>
      </c>
      <c r="P39" s="2">
        <f t="shared" si="4"/>
        <v>4</v>
      </c>
      <c r="Q39" s="2">
        <f t="shared" si="4"/>
        <v>3</v>
      </c>
      <c r="R39" s="2">
        <f t="shared" si="4"/>
        <v>2</v>
      </c>
      <c r="S39" s="2">
        <f t="shared" si="4"/>
        <v>1</v>
      </c>
      <c r="T39" s="2">
        <f t="shared" si="4"/>
        <v>4</v>
      </c>
      <c r="U39" s="2">
        <f t="shared" si="4"/>
        <v>3</v>
      </c>
      <c r="V39" s="2">
        <f t="shared" si="4"/>
        <v>2</v>
      </c>
      <c r="W39" s="2">
        <f t="shared" si="4"/>
        <v>1</v>
      </c>
      <c r="X39" s="2">
        <f t="shared" si="4"/>
        <v>4</v>
      </c>
    </row>
    <row r="40" spans="1:34" x14ac:dyDescent="0.35">
      <c r="B40" s="2" t="s">
        <v>73</v>
      </c>
      <c r="E40" s="2">
        <f t="shared" ref="E40:X40" si="5">Re_finance_Year-E39</f>
        <v>1</v>
      </c>
      <c r="F40" s="2">
        <f t="shared" si="5"/>
        <v>2</v>
      </c>
      <c r="G40" s="2">
        <f t="shared" si="5"/>
        <v>3</v>
      </c>
      <c r="H40" s="2">
        <f t="shared" si="5"/>
        <v>0</v>
      </c>
      <c r="I40" s="2">
        <f t="shared" si="5"/>
        <v>1</v>
      </c>
      <c r="J40" s="2">
        <f t="shared" si="5"/>
        <v>2</v>
      </c>
      <c r="K40" s="2">
        <f t="shared" si="5"/>
        <v>3</v>
      </c>
      <c r="L40" s="2">
        <f t="shared" si="5"/>
        <v>0</v>
      </c>
      <c r="M40" s="2">
        <f t="shared" si="5"/>
        <v>1</v>
      </c>
      <c r="N40" s="2">
        <f t="shared" si="5"/>
        <v>2</v>
      </c>
      <c r="O40" s="2">
        <f t="shared" si="5"/>
        <v>3</v>
      </c>
      <c r="P40" s="2">
        <f t="shared" si="5"/>
        <v>0</v>
      </c>
      <c r="Q40" s="2">
        <f t="shared" si="5"/>
        <v>1</v>
      </c>
      <c r="R40" s="2">
        <f t="shared" si="5"/>
        <v>2</v>
      </c>
      <c r="S40" s="2">
        <f t="shared" si="5"/>
        <v>3</v>
      </c>
      <c r="T40" s="2">
        <f t="shared" si="5"/>
        <v>0</v>
      </c>
      <c r="U40" s="2">
        <f t="shared" si="5"/>
        <v>1</v>
      </c>
      <c r="V40" s="2">
        <f t="shared" si="5"/>
        <v>2</v>
      </c>
      <c r="W40" s="2">
        <f t="shared" si="5"/>
        <v>3</v>
      </c>
      <c r="X40" s="2">
        <f t="shared" si="5"/>
        <v>0</v>
      </c>
    </row>
    <row r="42" spans="1:34" x14ac:dyDescent="0.35">
      <c r="B42" s="2" t="s">
        <v>20</v>
      </c>
      <c r="E42" s="2">
        <f>CFADS</f>
        <v>100</v>
      </c>
      <c r="F42" s="3">
        <f t="shared" ref="F42:X42" ca="1" si="6">E42+E42*Growth+E42*Volatility*NORMSINV(RAND())</f>
        <v>96.839809126028356</v>
      </c>
      <c r="G42" s="3">
        <f t="shared" ca="1" si="6"/>
        <v>124.25355852900276</v>
      </c>
      <c r="H42" s="3">
        <f t="shared" ca="1" si="6"/>
        <v>144.1397379284748</v>
      </c>
      <c r="I42" s="3">
        <f t="shared" ca="1" si="6"/>
        <v>93.942760765267053</v>
      </c>
      <c r="J42" s="3">
        <f t="shared" ca="1" si="6"/>
        <v>123.69547370139099</v>
      </c>
      <c r="K42" s="3">
        <f t="shared" ca="1" si="6"/>
        <v>135.98996894680812</v>
      </c>
      <c r="L42" s="3">
        <f t="shared" ca="1" si="6"/>
        <v>167.81594990115701</v>
      </c>
      <c r="M42" s="3">
        <f t="shared" ca="1" si="6"/>
        <v>184.73790129226197</v>
      </c>
      <c r="N42" s="3">
        <f t="shared" ca="1" si="6"/>
        <v>162.23763590008701</v>
      </c>
      <c r="O42" s="3">
        <f t="shared" ca="1" si="6"/>
        <v>157.08007728356537</v>
      </c>
      <c r="P42" s="3">
        <f t="shared" ca="1" si="6"/>
        <v>157.61781035289638</v>
      </c>
      <c r="Q42" s="3">
        <f t="shared" ca="1" si="6"/>
        <v>142.16654051782581</v>
      </c>
      <c r="R42" s="3">
        <f t="shared" ca="1" si="6"/>
        <v>82.143062921205924</v>
      </c>
      <c r="S42" s="3">
        <f t="shared" ca="1" si="6"/>
        <v>65.141631035552521</v>
      </c>
      <c r="T42" s="3">
        <f t="shared" ca="1" si="6"/>
        <v>60.241867834859391</v>
      </c>
      <c r="U42" s="3">
        <f t="shared" ca="1" si="6"/>
        <v>54.970008173464251</v>
      </c>
      <c r="V42" s="3">
        <f t="shared" ca="1" si="6"/>
        <v>68.954137054647092</v>
      </c>
      <c r="W42" s="3">
        <f t="shared" ca="1" si="6"/>
        <v>55.612571448519049</v>
      </c>
      <c r="X42" s="3">
        <f t="shared" ca="1" si="6"/>
        <v>43.843315626363037</v>
      </c>
    </row>
    <row r="43" spans="1:34" x14ac:dyDescent="0.35">
      <c r="B43" s="2" t="s">
        <v>65</v>
      </c>
      <c r="E43" s="2">
        <f>Cap_Exp</f>
        <v>40</v>
      </c>
      <c r="F43" s="3">
        <f t="shared" ref="F43:X43" ca="1" si="7">E43+E43*Growth+E43*$C$10*NORMSINV(RAND())</f>
        <v>42.007134344009749</v>
      </c>
      <c r="G43" s="3">
        <f t="shared" ca="1" si="7"/>
        <v>44.144392230640129</v>
      </c>
      <c r="H43" s="3">
        <f t="shared" ca="1" si="7"/>
        <v>46.296201765486821</v>
      </c>
      <c r="I43" s="3">
        <f t="shared" ca="1" si="7"/>
        <v>48.532776418398988</v>
      </c>
      <c r="J43" s="3">
        <f t="shared" ca="1" si="7"/>
        <v>50.958152677953947</v>
      </c>
      <c r="K43" s="3">
        <f t="shared" ca="1" si="7"/>
        <v>53.472434676440564</v>
      </c>
      <c r="L43" s="3">
        <f t="shared" ca="1" si="7"/>
        <v>56.016945634078141</v>
      </c>
      <c r="M43" s="3">
        <f t="shared" ca="1" si="7"/>
        <v>58.848188116013915</v>
      </c>
      <c r="N43" s="3">
        <f t="shared" ca="1" si="7"/>
        <v>61.685890209633705</v>
      </c>
      <c r="O43" s="3">
        <f t="shared" ca="1" si="7"/>
        <v>64.807796776114145</v>
      </c>
      <c r="P43" s="3">
        <f t="shared" ca="1" si="7"/>
        <v>68.067279413091853</v>
      </c>
      <c r="Q43" s="3">
        <f t="shared" ca="1" si="7"/>
        <v>71.378394535092781</v>
      </c>
      <c r="R43" s="3">
        <f t="shared" ca="1" si="7"/>
        <v>75.044322619879821</v>
      </c>
      <c r="S43" s="3">
        <f t="shared" ca="1" si="7"/>
        <v>78.737084734019916</v>
      </c>
      <c r="T43" s="3">
        <f t="shared" ca="1" si="7"/>
        <v>82.671157754544637</v>
      </c>
      <c r="U43" s="3">
        <f t="shared" ca="1" si="7"/>
        <v>86.83643789706818</v>
      </c>
      <c r="V43" s="3">
        <f t="shared" ca="1" si="7"/>
        <v>91.229580051520898</v>
      </c>
      <c r="W43" s="3">
        <f t="shared" ca="1" si="7"/>
        <v>95.731934958034316</v>
      </c>
      <c r="X43" s="3">
        <f t="shared" ca="1" si="7"/>
        <v>100.50712496976251</v>
      </c>
    </row>
    <row r="44" spans="1:34" x14ac:dyDescent="0.35">
      <c r="B44" s="2" t="s">
        <v>63</v>
      </c>
      <c r="E44" s="3">
        <f>E52</f>
        <v>25</v>
      </c>
      <c r="F44" s="3">
        <f t="shared" ref="F44:X44" si="8">F52</f>
        <v>25</v>
      </c>
      <c r="G44" s="3">
        <f t="shared" ca="1" si="8"/>
        <v>25</v>
      </c>
      <c r="H44" s="3">
        <f t="shared" ca="1" si="8"/>
        <v>25</v>
      </c>
      <c r="I44" s="3">
        <f t="shared" ca="1" si="8"/>
        <v>28.642176808149401</v>
      </c>
      <c r="J44" s="3">
        <f t="shared" ca="1" si="8"/>
        <v>28.642176808149401</v>
      </c>
      <c r="K44" s="3">
        <f t="shared" ca="1" si="8"/>
        <v>28.642176808149401</v>
      </c>
      <c r="L44" s="3">
        <f t="shared" ca="1" si="8"/>
        <v>28.642176808149401</v>
      </c>
      <c r="M44" s="3">
        <f t="shared" ca="1" si="8"/>
        <v>32.800018181095872</v>
      </c>
      <c r="N44" s="3">
        <f t="shared" ca="1" si="8"/>
        <v>32.800018181095872</v>
      </c>
      <c r="O44" s="3">
        <f t="shared" ca="1" si="8"/>
        <v>32.800018181095872</v>
      </c>
      <c r="P44" s="3">
        <f t="shared" ca="1" si="8"/>
        <v>32.800018181095872</v>
      </c>
      <c r="Q44" s="3">
        <f t="shared" ca="1" si="8"/>
        <v>35.637543819031308</v>
      </c>
      <c r="R44" s="3">
        <f t="shared" ca="1" si="8"/>
        <v>35.637543819031308</v>
      </c>
      <c r="S44" s="3">
        <f t="shared" ca="1" si="8"/>
        <v>35.637543819031308</v>
      </c>
      <c r="T44" s="3">
        <f t="shared" ca="1" si="8"/>
        <v>35.637543819031308</v>
      </c>
      <c r="U44" s="3">
        <f t="shared" ca="1" si="8"/>
        <v>32.734202132095476</v>
      </c>
      <c r="V44" s="3">
        <f t="shared" ca="1" si="8"/>
        <v>32.734202132095476</v>
      </c>
      <c r="W44" s="3">
        <f t="shared" ca="1" si="8"/>
        <v>32.734202132095476</v>
      </c>
      <c r="X44" s="3">
        <f t="shared" ca="1" si="8"/>
        <v>32.734202132095476</v>
      </c>
    </row>
    <row r="45" spans="1:34" x14ac:dyDescent="0.35">
      <c r="B45" s="6" t="s">
        <v>70</v>
      </c>
      <c r="C45" s="7"/>
      <c r="D45" s="7"/>
      <c r="E45" s="8">
        <f>E42-E43-E44</f>
        <v>35</v>
      </c>
      <c r="F45" s="8">
        <f t="shared" ref="F45:X45" ca="1" si="9">F42-F43-F44</f>
        <v>29.832674782018607</v>
      </c>
      <c r="G45" s="8">
        <f t="shared" ca="1" si="9"/>
        <v>55.109166298362624</v>
      </c>
      <c r="H45" s="8">
        <f t="shared" ca="1" si="9"/>
        <v>72.843536162987988</v>
      </c>
      <c r="I45" s="8">
        <f t="shared" ca="1" si="9"/>
        <v>16.767807538718664</v>
      </c>
      <c r="J45" s="8">
        <f t="shared" ca="1" si="9"/>
        <v>44.095144215287647</v>
      </c>
      <c r="K45" s="8">
        <f t="shared" ca="1" si="9"/>
        <v>53.875357462218147</v>
      </c>
      <c r="L45" s="8">
        <f t="shared" ca="1" si="9"/>
        <v>83.15682745892947</v>
      </c>
      <c r="M45" s="8">
        <f t="shared" ca="1" si="9"/>
        <v>93.089694995152172</v>
      </c>
      <c r="N45" s="8">
        <f t="shared" ca="1" si="9"/>
        <v>67.751727509357437</v>
      </c>
      <c r="O45" s="8">
        <f t="shared" ca="1" si="9"/>
        <v>59.472262326355356</v>
      </c>
      <c r="P45" s="8">
        <f t="shared" ca="1" si="9"/>
        <v>56.750512758708659</v>
      </c>
      <c r="Q45" s="8">
        <f t="shared" ca="1" si="9"/>
        <v>35.15060216370172</v>
      </c>
      <c r="R45" s="8">
        <f t="shared" ca="1" si="9"/>
        <v>-28.538803517705205</v>
      </c>
      <c r="S45" s="8">
        <f t="shared" ca="1" si="9"/>
        <v>-49.232997517498703</v>
      </c>
      <c r="T45" s="8">
        <f t="shared" ca="1" si="9"/>
        <v>-58.066833738716554</v>
      </c>
      <c r="U45" s="8">
        <f t="shared" ca="1" si="9"/>
        <v>-64.600631855699405</v>
      </c>
      <c r="V45" s="8">
        <f t="shared" ca="1" si="9"/>
        <v>-55.009645128969282</v>
      </c>
      <c r="W45" s="8">
        <f t="shared" ca="1" si="9"/>
        <v>-72.853565641610743</v>
      </c>
      <c r="X45" s="9">
        <f t="shared" ca="1" si="9"/>
        <v>-89.398011475494954</v>
      </c>
    </row>
    <row r="47" spans="1:34" x14ac:dyDescent="0.35">
      <c r="B47" s="2" t="s">
        <v>66</v>
      </c>
      <c r="E47" s="3">
        <f>IF(E38,0,D47+E45)</f>
        <v>35</v>
      </c>
      <c r="F47" s="3">
        <f t="shared" ref="F47:X47" ca="1" si="10">IF(F38,0,E47+F45)</f>
        <v>64.832674782018614</v>
      </c>
      <c r="G47" s="3">
        <f t="shared" ca="1" si="10"/>
        <v>119.94184108038124</v>
      </c>
      <c r="H47" s="3">
        <f t="shared" si="10"/>
        <v>0</v>
      </c>
      <c r="I47" s="3">
        <f t="shared" ca="1" si="10"/>
        <v>16.767807538718664</v>
      </c>
      <c r="J47" s="3">
        <f t="shared" ca="1" si="10"/>
        <v>60.862951754006311</v>
      </c>
      <c r="K47" s="3">
        <f t="shared" ca="1" si="10"/>
        <v>114.73830921622445</v>
      </c>
      <c r="L47" s="3">
        <f t="shared" si="10"/>
        <v>0</v>
      </c>
      <c r="M47" s="3">
        <f t="shared" ca="1" si="10"/>
        <v>93.089694995152172</v>
      </c>
      <c r="N47" s="3">
        <f t="shared" ca="1" si="10"/>
        <v>160.84142250450961</v>
      </c>
      <c r="O47" s="3">
        <f t="shared" ca="1" si="10"/>
        <v>220.31368483086496</v>
      </c>
      <c r="P47" s="3">
        <f t="shared" si="10"/>
        <v>0</v>
      </c>
      <c r="Q47" s="3">
        <f t="shared" ca="1" si="10"/>
        <v>35.15060216370172</v>
      </c>
      <c r="R47" s="3">
        <f t="shared" ca="1" si="10"/>
        <v>6.6117986459965152</v>
      </c>
      <c r="S47" s="3">
        <f t="shared" ca="1" si="10"/>
        <v>-42.621198871502187</v>
      </c>
      <c r="T47" s="3">
        <f t="shared" si="10"/>
        <v>0</v>
      </c>
      <c r="U47" s="3">
        <f t="shared" ca="1" si="10"/>
        <v>-64.600631855699405</v>
      </c>
      <c r="V47" s="3">
        <f t="shared" ca="1" si="10"/>
        <v>-119.61027698466869</v>
      </c>
      <c r="W47" s="3">
        <f t="shared" ca="1" si="10"/>
        <v>-192.46384262627942</v>
      </c>
      <c r="X47" s="3">
        <f t="shared" si="10"/>
        <v>0</v>
      </c>
    </row>
    <row r="48" spans="1:34" x14ac:dyDescent="0.35">
      <c r="B48" s="2" t="s">
        <v>64</v>
      </c>
      <c r="E48" s="3">
        <f>D51*E38</f>
        <v>0</v>
      </c>
      <c r="F48" s="3">
        <f t="shared" ref="F48:X48" si="11">E51*F38</f>
        <v>0</v>
      </c>
      <c r="G48" s="3">
        <f t="shared" ca="1" si="11"/>
        <v>0</v>
      </c>
      <c r="H48" s="3">
        <f t="shared" ca="1" si="11"/>
        <v>500</v>
      </c>
      <c r="I48" s="3">
        <f t="shared" ca="1" si="11"/>
        <v>0</v>
      </c>
      <c r="J48" s="3">
        <f t="shared" ca="1" si="11"/>
        <v>0</v>
      </c>
      <c r="K48" s="3">
        <f t="shared" ca="1" si="11"/>
        <v>0</v>
      </c>
      <c r="L48" s="3">
        <f t="shared" ca="1" si="11"/>
        <v>572.84353616298802</v>
      </c>
      <c r="M48" s="3">
        <f t="shared" ca="1" si="11"/>
        <v>0</v>
      </c>
      <c r="N48" s="3">
        <f t="shared" ca="1" si="11"/>
        <v>0</v>
      </c>
      <c r="O48" s="3">
        <f t="shared" ca="1" si="11"/>
        <v>0</v>
      </c>
      <c r="P48" s="3">
        <f t="shared" ca="1" si="11"/>
        <v>656.00036362191747</v>
      </c>
      <c r="Q48" s="3">
        <f t="shared" ca="1" si="11"/>
        <v>0</v>
      </c>
      <c r="R48" s="3">
        <f t="shared" ca="1" si="11"/>
        <v>0</v>
      </c>
      <c r="S48" s="3">
        <f t="shared" ca="1" si="11"/>
        <v>0</v>
      </c>
      <c r="T48" s="3">
        <f t="shared" ca="1" si="11"/>
        <v>712.7508763806261</v>
      </c>
      <c r="U48" s="3">
        <f t="shared" ca="1" si="11"/>
        <v>0</v>
      </c>
      <c r="V48" s="3">
        <f t="shared" ca="1" si="11"/>
        <v>0</v>
      </c>
      <c r="W48" s="3">
        <f t="shared" ca="1" si="11"/>
        <v>0</v>
      </c>
      <c r="X48" s="3">
        <f t="shared" ca="1" si="11"/>
        <v>654.68404264190951</v>
      </c>
    </row>
    <row r="49" spans="2:24" x14ac:dyDescent="0.35">
      <c r="B49" s="2" t="s">
        <v>67</v>
      </c>
      <c r="E49" s="3">
        <f>-E47-E45*E38</f>
        <v>-35</v>
      </c>
      <c r="F49" s="3">
        <f t="shared" ref="F49:X49" ca="1" si="12">-F47-F45*F38</f>
        <v>-64.832674782018614</v>
      </c>
      <c r="G49" s="3">
        <f t="shared" ca="1" si="12"/>
        <v>-119.94184108038124</v>
      </c>
      <c r="H49" s="3">
        <f t="shared" ca="1" si="12"/>
        <v>-72.843536162987988</v>
      </c>
      <c r="I49" s="3">
        <f t="shared" ca="1" si="12"/>
        <v>-16.767807538718664</v>
      </c>
      <c r="J49" s="3">
        <f t="shared" ca="1" si="12"/>
        <v>-60.862951754006311</v>
      </c>
      <c r="K49" s="3">
        <f t="shared" ca="1" si="12"/>
        <v>-114.73830921622445</v>
      </c>
      <c r="L49" s="3">
        <f t="shared" ca="1" si="12"/>
        <v>-83.15682745892947</v>
      </c>
      <c r="M49" s="3">
        <f t="shared" ca="1" si="12"/>
        <v>-93.089694995152172</v>
      </c>
      <c r="N49" s="3">
        <f t="shared" ca="1" si="12"/>
        <v>-160.84142250450961</v>
      </c>
      <c r="O49" s="3">
        <f t="shared" ca="1" si="12"/>
        <v>-220.31368483086496</v>
      </c>
      <c r="P49" s="3">
        <f t="shared" ca="1" si="12"/>
        <v>-56.750512758708659</v>
      </c>
      <c r="Q49" s="3">
        <f t="shared" ca="1" si="12"/>
        <v>-35.15060216370172</v>
      </c>
      <c r="R49" s="3">
        <f t="shared" ca="1" si="12"/>
        <v>-6.6117986459965152</v>
      </c>
      <c r="S49" s="3">
        <f t="shared" ca="1" si="12"/>
        <v>42.621198871502187</v>
      </c>
      <c r="T49" s="3">
        <f t="shared" ca="1" si="12"/>
        <v>58.066833738716554</v>
      </c>
      <c r="U49" s="3">
        <f t="shared" ca="1" si="12"/>
        <v>64.600631855699405</v>
      </c>
      <c r="V49" s="3">
        <f t="shared" ca="1" si="12"/>
        <v>119.61027698466869</v>
      </c>
      <c r="W49" s="3">
        <f t="shared" ca="1" si="12"/>
        <v>192.46384262627942</v>
      </c>
      <c r="X49" s="3">
        <f t="shared" ca="1" si="12"/>
        <v>89.398011475494954</v>
      </c>
    </row>
    <row r="50" spans="2:24" x14ac:dyDescent="0.35">
      <c r="B50" s="6" t="s">
        <v>68</v>
      </c>
      <c r="C50" s="7"/>
      <c r="D50" s="7"/>
      <c r="E50" s="15">
        <f>(E48-E49)*E38</f>
        <v>0</v>
      </c>
      <c r="F50" s="15">
        <f t="shared" ref="F50:X50" ca="1" si="13">(F48-F49)*F38</f>
        <v>0</v>
      </c>
      <c r="G50" s="15">
        <f t="shared" ca="1" si="13"/>
        <v>0</v>
      </c>
      <c r="H50" s="15">
        <f t="shared" ca="1" si="13"/>
        <v>572.84353616298802</v>
      </c>
      <c r="I50" s="15">
        <f t="shared" ca="1" si="13"/>
        <v>0</v>
      </c>
      <c r="J50" s="15">
        <f t="shared" ca="1" si="13"/>
        <v>0</v>
      </c>
      <c r="K50" s="15">
        <f t="shared" ca="1" si="13"/>
        <v>0</v>
      </c>
      <c r="L50" s="15">
        <f t="shared" ca="1" si="13"/>
        <v>656.00036362191747</v>
      </c>
      <c r="M50" s="15">
        <f t="shared" ca="1" si="13"/>
        <v>0</v>
      </c>
      <c r="N50" s="15">
        <f t="shared" ca="1" si="13"/>
        <v>0</v>
      </c>
      <c r="O50" s="15">
        <f t="shared" ca="1" si="13"/>
        <v>0</v>
      </c>
      <c r="P50" s="15">
        <f t="shared" ca="1" si="13"/>
        <v>712.7508763806261</v>
      </c>
      <c r="Q50" s="15">
        <f t="shared" ca="1" si="13"/>
        <v>0</v>
      </c>
      <c r="R50" s="15">
        <f t="shared" ca="1" si="13"/>
        <v>0</v>
      </c>
      <c r="S50" s="15">
        <f t="shared" ca="1" si="13"/>
        <v>0</v>
      </c>
      <c r="T50" s="15">
        <f t="shared" ca="1" si="13"/>
        <v>654.68404264190951</v>
      </c>
      <c r="U50" s="15">
        <f t="shared" ca="1" si="13"/>
        <v>0</v>
      </c>
      <c r="V50" s="15">
        <f t="shared" ca="1" si="13"/>
        <v>0</v>
      </c>
      <c r="W50" s="15">
        <f t="shared" ca="1" si="13"/>
        <v>0</v>
      </c>
      <c r="X50" s="16">
        <f t="shared" ca="1" si="13"/>
        <v>565.28603116641455</v>
      </c>
    </row>
    <row r="51" spans="2:24" x14ac:dyDescent="0.35">
      <c r="B51" s="2" t="s">
        <v>69</v>
      </c>
      <c r="D51" s="2">
        <f>Initial_Finance</f>
        <v>500</v>
      </c>
      <c r="E51" s="3">
        <f>D51-E48+E50</f>
        <v>500</v>
      </c>
      <c r="F51" s="3">
        <f t="shared" ref="F51:X51" ca="1" si="14">E51-F48+F50</f>
        <v>500</v>
      </c>
      <c r="G51" s="3">
        <f t="shared" ca="1" si="14"/>
        <v>500</v>
      </c>
      <c r="H51" s="3">
        <f t="shared" ca="1" si="14"/>
        <v>572.84353616298802</v>
      </c>
      <c r="I51" s="3">
        <f t="shared" ca="1" si="14"/>
        <v>572.84353616298802</v>
      </c>
      <c r="J51" s="3">
        <f t="shared" ca="1" si="14"/>
        <v>572.84353616298802</v>
      </c>
      <c r="K51" s="3">
        <f t="shared" ca="1" si="14"/>
        <v>572.84353616298802</v>
      </c>
      <c r="L51" s="3">
        <f t="shared" ca="1" si="14"/>
        <v>656.00036362191747</v>
      </c>
      <c r="M51" s="3">
        <f t="shared" ca="1" si="14"/>
        <v>656.00036362191747</v>
      </c>
      <c r="N51" s="3">
        <f t="shared" ca="1" si="14"/>
        <v>656.00036362191747</v>
      </c>
      <c r="O51" s="3">
        <f t="shared" ca="1" si="14"/>
        <v>656.00036362191747</v>
      </c>
      <c r="P51" s="3">
        <f t="shared" ca="1" si="14"/>
        <v>712.7508763806261</v>
      </c>
      <c r="Q51" s="3">
        <f t="shared" ca="1" si="14"/>
        <v>712.7508763806261</v>
      </c>
      <c r="R51" s="3">
        <f t="shared" ca="1" si="14"/>
        <v>712.7508763806261</v>
      </c>
      <c r="S51" s="3">
        <f t="shared" ca="1" si="14"/>
        <v>712.7508763806261</v>
      </c>
      <c r="T51" s="3">
        <f t="shared" ca="1" si="14"/>
        <v>654.68404264190951</v>
      </c>
      <c r="U51" s="3">
        <f t="shared" ca="1" si="14"/>
        <v>654.68404264190951</v>
      </c>
      <c r="V51" s="3">
        <f t="shared" ca="1" si="14"/>
        <v>654.68404264190951</v>
      </c>
      <c r="W51" s="3">
        <f t="shared" ca="1" si="14"/>
        <v>654.68404264190951</v>
      </c>
      <c r="X51" s="3">
        <f t="shared" ca="1" si="14"/>
        <v>565.28603116641455</v>
      </c>
    </row>
    <row r="52" spans="2:24" x14ac:dyDescent="0.35">
      <c r="B52" s="2" t="s">
        <v>63</v>
      </c>
      <c r="E52" s="3">
        <f t="shared" ref="E52:X52" si="15">D51*Interest_Rate</f>
        <v>25</v>
      </c>
      <c r="F52" s="3">
        <f t="shared" si="15"/>
        <v>25</v>
      </c>
      <c r="G52" s="3">
        <f t="shared" ca="1" si="15"/>
        <v>25</v>
      </c>
      <c r="H52" s="3">
        <f t="shared" ca="1" si="15"/>
        <v>25</v>
      </c>
      <c r="I52" s="3">
        <f t="shared" ca="1" si="15"/>
        <v>28.642176808149401</v>
      </c>
      <c r="J52" s="3">
        <f t="shared" ca="1" si="15"/>
        <v>28.642176808149401</v>
      </c>
      <c r="K52" s="3">
        <f t="shared" ca="1" si="15"/>
        <v>28.642176808149401</v>
      </c>
      <c r="L52" s="3">
        <f t="shared" ca="1" si="15"/>
        <v>28.642176808149401</v>
      </c>
      <c r="M52" s="3">
        <f t="shared" ca="1" si="15"/>
        <v>32.800018181095872</v>
      </c>
      <c r="N52" s="3">
        <f t="shared" ca="1" si="15"/>
        <v>32.800018181095872</v>
      </c>
      <c r="O52" s="3">
        <f t="shared" ca="1" si="15"/>
        <v>32.800018181095872</v>
      </c>
      <c r="P52" s="3">
        <f t="shared" ca="1" si="15"/>
        <v>32.800018181095872</v>
      </c>
      <c r="Q52" s="3">
        <f t="shared" ca="1" si="15"/>
        <v>35.637543819031308</v>
      </c>
      <c r="R52" s="3">
        <f t="shared" ca="1" si="15"/>
        <v>35.637543819031308</v>
      </c>
      <c r="S52" s="3">
        <f t="shared" ca="1" si="15"/>
        <v>35.637543819031308</v>
      </c>
      <c r="T52" s="3">
        <f t="shared" ca="1" si="15"/>
        <v>35.637543819031308</v>
      </c>
      <c r="U52" s="3">
        <f t="shared" ca="1" si="15"/>
        <v>32.734202132095476</v>
      </c>
      <c r="V52" s="3">
        <f t="shared" ca="1" si="15"/>
        <v>32.734202132095476</v>
      </c>
      <c r="W52" s="3">
        <f t="shared" ca="1" si="15"/>
        <v>32.734202132095476</v>
      </c>
      <c r="X52" s="3">
        <f t="shared" ca="1" si="15"/>
        <v>32.734202132095476</v>
      </c>
    </row>
    <row r="54" spans="2:24" x14ac:dyDescent="0.35">
      <c r="B54" s="2" t="s">
        <v>77</v>
      </c>
      <c r="E54" s="3">
        <f>E42/E52</f>
        <v>4</v>
      </c>
      <c r="F54" s="3">
        <f t="shared" ref="F54:X54" ca="1" si="16">F42/F52</f>
        <v>3.8735923650411341</v>
      </c>
      <c r="G54" s="3">
        <f t="shared" ca="1" si="16"/>
        <v>4.97014234116011</v>
      </c>
      <c r="H54" s="3">
        <f t="shared" ca="1" si="16"/>
        <v>5.7655895171389924</v>
      </c>
      <c r="I54" s="3">
        <f t="shared" ca="1" si="16"/>
        <v>3.2798750386366597</v>
      </c>
      <c r="J54" s="3">
        <f t="shared" ca="1" si="16"/>
        <v>4.3186477944719828</v>
      </c>
      <c r="K54" s="3">
        <f t="shared" ca="1" si="16"/>
        <v>4.7478922379990216</v>
      </c>
      <c r="L54" s="3">
        <f t="shared" ca="1" si="16"/>
        <v>5.859050135233062</v>
      </c>
      <c r="M54" s="3">
        <f t="shared" ca="1" si="16"/>
        <v>5.6322499662129681</v>
      </c>
      <c r="N54" s="3">
        <f t="shared" ca="1" si="16"/>
        <v>4.9462666454737478</v>
      </c>
      <c r="O54" s="3">
        <f t="shared" ca="1" si="16"/>
        <v>4.7890240918859517</v>
      </c>
      <c r="P54" s="3">
        <f t="shared" ca="1" si="16"/>
        <v>4.8054183836928059</v>
      </c>
      <c r="Q54" s="3">
        <f t="shared" ca="1" si="16"/>
        <v>3.9892350954306073</v>
      </c>
      <c r="R54" s="3">
        <f t="shared" ca="1" si="16"/>
        <v>2.3049585947429843</v>
      </c>
      <c r="S54" s="3">
        <f t="shared" ca="1" si="16"/>
        <v>1.8278933970967246</v>
      </c>
      <c r="T54" s="3">
        <f t="shared" ca="1" si="16"/>
        <v>1.6904045952428624</v>
      </c>
      <c r="U54" s="3">
        <f t="shared" ca="1" si="16"/>
        <v>1.679283580874783</v>
      </c>
      <c r="V54" s="3">
        <f t="shared" ca="1" si="16"/>
        <v>2.1064859554660851</v>
      </c>
      <c r="W54" s="3">
        <f t="shared" ca="1" si="16"/>
        <v>1.6989133024871139</v>
      </c>
      <c r="X54" s="3">
        <f t="shared" ca="1" si="16"/>
        <v>1.3393732784271901</v>
      </c>
    </row>
    <row r="55" spans="2:24" x14ac:dyDescent="0.35">
      <c r="B55" s="2" t="s">
        <v>74</v>
      </c>
      <c r="E55" s="3">
        <f>E51/E42</f>
        <v>5</v>
      </c>
      <c r="F55" s="3">
        <f t="shared" ref="F55:X55" ca="1" si="17">F51/F42</f>
        <v>5.1631658975008374</v>
      </c>
      <c r="G55" s="3">
        <f t="shared" ca="1" si="17"/>
        <v>4.0240296207153863</v>
      </c>
      <c r="H55" s="3">
        <f t="shared" ca="1" si="17"/>
        <v>3.9742235166768873</v>
      </c>
      <c r="I55" s="3">
        <f t="shared" ca="1" si="17"/>
        <v>6.0977932891959714</v>
      </c>
      <c r="J55" s="3">
        <f t="shared" ca="1" si="17"/>
        <v>4.6310792062276258</v>
      </c>
      <c r="K55" s="3">
        <f t="shared" ca="1" si="17"/>
        <v>4.2123955215185998</v>
      </c>
      <c r="L55" s="3">
        <f t="shared" ca="1" si="17"/>
        <v>3.9090465716059728</v>
      </c>
      <c r="M55" s="3">
        <f t="shared" ca="1" si="17"/>
        <v>3.5509787598165978</v>
      </c>
      <c r="N55" s="3">
        <f t="shared" ca="1" si="17"/>
        <v>4.0434536658677089</v>
      </c>
      <c r="O55" s="3">
        <f t="shared" ca="1" si="17"/>
        <v>4.1762162011016022</v>
      </c>
      <c r="P55" s="3">
        <f t="shared" ca="1" si="17"/>
        <v>4.5220199086944657</v>
      </c>
      <c r="Q55" s="3">
        <f t="shared" ca="1" si="17"/>
        <v>5.0134924419241713</v>
      </c>
      <c r="R55" s="3">
        <f t="shared" ca="1" si="17"/>
        <v>8.6769454538640467</v>
      </c>
      <c r="S55" s="3">
        <f t="shared" ca="1" si="17"/>
        <v>10.941557112557193</v>
      </c>
      <c r="T55" s="3">
        <f t="shared" ca="1" si="17"/>
        <v>10.867592028132167</v>
      </c>
      <c r="U55" s="3">
        <f t="shared" ca="1" si="17"/>
        <v>11.909840736715518</v>
      </c>
      <c r="V55" s="3">
        <f t="shared" ca="1" si="17"/>
        <v>9.4944853290392643</v>
      </c>
      <c r="W55" s="3">
        <f t="shared" ca="1" si="17"/>
        <v>11.772231090733777</v>
      </c>
      <c r="X55" s="3">
        <f t="shared" ca="1" si="17"/>
        <v>12.893323032040657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Short-cuts</vt:lpstr>
      <vt:lpstr>PF and CF Exercise</vt:lpstr>
      <vt:lpstr>Cap_Exp</vt:lpstr>
      <vt:lpstr>Cap_Exp_Vol</vt:lpstr>
      <vt:lpstr>Capital_Expenditure</vt:lpstr>
      <vt:lpstr>CFADS</vt:lpstr>
      <vt:lpstr>EBITDA</vt:lpstr>
      <vt:lpstr>Growth</vt:lpstr>
      <vt:lpstr>Initial_Debt</vt:lpstr>
      <vt:lpstr>Initial_Finance</vt:lpstr>
      <vt:lpstr>Interest_Rate</vt:lpstr>
      <vt:lpstr>PF_Volatility</vt:lpstr>
      <vt:lpstr>Re_finance_Year</vt:lpstr>
      <vt:lpstr>Target_Debt_Service</vt:lpstr>
      <vt:lpstr>Target_DSCR</vt:lpstr>
      <vt:lpstr>Volatility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Presley</dc:creator>
  <cp:lastModifiedBy>Stormy Daniels</cp:lastModifiedBy>
  <dcterms:created xsi:type="dcterms:W3CDTF">2017-02-13T19:40:50Z</dcterms:created>
  <dcterms:modified xsi:type="dcterms:W3CDTF">2018-04-14T06:17:42Z</dcterms:modified>
</cp:coreProperties>
</file>