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C:\Users\Monika Lewenski\Courses\Chapter 1. Models and Analysis\B. Project Finance Models and Exercises\B. Project Finance Model Exercises\"/>
    </mc:Choice>
  </mc:AlternateContent>
  <bookViews>
    <workbookView xWindow="0" yWindow="0" windowWidth="23040" windowHeight="8830"/>
  </bookViews>
  <sheets>
    <sheet name="Points" sheetId="4" r:id="rId1"/>
    <sheet name="Blank Exercise" sheetId="2" r:id="rId2"/>
    <sheet name="Completed Exercise" sheetId="3" r:id="rId3"/>
    <sheet name="Comprehensive Example" sheetId="1" r:id="rId4"/>
  </sheets>
  <externalReferences>
    <externalReference r:id="rId5"/>
  </externalReferences>
  <definedNames>
    <definedName name="comment">'[1]Dates for Periodic Model'!$N$2</definedName>
    <definedName name="senior_to">'Comprehensive Example'!$F$73</definedName>
    <definedName name="sr_diff">'Comprehensive Example'!$F$231</definedName>
  </definedNames>
  <calcPr calcId="162913" calcMode="autoNoTable"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 l="1"/>
  <c r="F37" i="3"/>
  <c r="E33" i="3"/>
  <c r="F30" i="3"/>
  <c r="F33" i="3" s="1"/>
  <c r="F12" i="3" s="1"/>
  <c r="F27" i="3"/>
  <c r="G26" i="3"/>
  <c r="E26" i="3"/>
  <c r="J26" i="3" s="1"/>
  <c r="F20" i="3"/>
  <c r="F17" i="3"/>
  <c r="G16" i="3"/>
  <c r="E16" i="3"/>
  <c r="J16" i="3" s="1"/>
  <c r="E11" i="3"/>
  <c r="I9" i="3"/>
  <c r="H9" i="3" s="1"/>
  <c r="G9" i="3" s="1"/>
  <c r="F9" i="3" s="1"/>
  <c r="E6" i="3"/>
  <c r="K4" i="3"/>
  <c r="E12" i="2"/>
  <c r="H16" i="3" l="1"/>
  <c r="H26" i="3"/>
  <c r="F40" i="3"/>
  <c r="F13" i="3" s="1"/>
  <c r="F14" i="3" s="1"/>
  <c r="I16" i="3"/>
  <c r="I26" i="3"/>
  <c r="F16" i="3"/>
  <c r="F18" i="3" s="1"/>
  <c r="F26" i="3"/>
  <c r="F28" i="3" s="1"/>
  <c r="E7" i="2"/>
  <c r="F21" i="3" l="1"/>
  <c r="F22" i="3" s="1"/>
  <c r="G20" i="3" s="1"/>
  <c r="I10" i="2"/>
  <c r="K348" i="1"/>
  <c r="K346" i="1"/>
  <c r="S345" i="1"/>
  <c r="R345" i="1"/>
  <c r="Q345" i="1"/>
  <c r="P345" i="1"/>
  <c r="O345" i="1"/>
  <c r="N345" i="1"/>
  <c r="M345" i="1"/>
  <c r="L345" i="1"/>
  <c r="K345" i="1"/>
  <c r="L344" i="1"/>
  <c r="F314" i="1"/>
  <c r="F310" i="1"/>
  <c r="F309" i="1"/>
  <c r="C305" i="1"/>
  <c r="E319" i="1" s="1"/>
  <c r="F319" i="1" s="1"/>
  <c r="F291" i="1"/>
  <c r="F286" i="1"/>
  <c r="F283" i="1"/>
  <c r="J280" i="1"/>
  <c r="F280" i="1"/>
  <c r="G280" i="1" s="1"/>
  <c r="H280" i="1" s="1"/>
  <c r="I280" i="1" s="1"/>
  <c r="C278" i="1"/>
  <c r="F262" i="1"/>
  <c r="F257" i="1" s="1"/>
  <c r="F258" i="1"/>
  <c r="C253" i="1"/>
  <c r="E267" i="1" s="1"/>
  <c r="F267" i="1" s="1"/>
  <c r="J247" i="1"/>
  <c r="I247" i="1"/>
  <c r="I329" i="1" s="1"/>
  <c r="H247" i="1"/>
  <c r="H329" i="1" s="1"/>
  <c r="G247" i="1"/>
  <c r="G329" i="1" s="1"/>
  <c r="F247" i="1"/>
  <c r="J244" i="1"/>
  <c r="J243" i="1"/>
  <c r="I242" i="1"/>
  <c r="I244" i="1" s="1"/>
  <c r="H242" i="1"/>
  <c r="H243" i="1" s="1"/>
  <c r="I223" i="1"/>
  <c r="I221" i="1"/>
  <c r="J200" i="1"/>
  <c r="I200" i="1"/>
  <c r="H200" i="1"/>
  <c r="G200" i="1"/>
  <c r="F200" i="1"/>
  <c r="F177" i="1"/>
  <c r="F173" i="1"/>
  <c r="F172" i="1"/>
  <c r="C168" i="1"/>
  <c r="D168" i="1" s="1"/>
  <c r="F152" i="1"/>
  <c r="G152" i="1" s="1"/>
  <c r="H152" i="1" s="1"/>
  <c r="F146" i="1"/>
  <c r="F147" i="1" s="1"/>
  <c r="F140" i="1"/>
  <c r="F136" i="1" s="1"/>
  <c r="F137" i="1"/>
  <c r="G134" i="1"/>
  <c r="H134" i="1" s="1"/>
  <c r="I134" i="1" s="1"/>
  <c r="J134" i="1" s="1"/>
  <c r="F134" i="1"/>
  <c r="C132" i="1"/>
  <c r="E133" i="1" s="1"/>
  <c r="E153" i="1" s="1"/>
  <c r="F153" i="1" s="1"/>
  <c r="G153" i="1" s="1"/>
  <c r="H153" i="1" s="1"/>
  <c r="I153" i="1" s="1"/>
  <c r="J153" i="1" s="1"/>
  <c r="E115" i="1"/>
  <c r="F107" i="1"/>
  <c r="F103" i="1"/>
  <c r="F102" i="1"/>
  <c r="C98" i="1"/>
  <c r="E99" i="1" s="1"/>
  <c r="F99" i="1" s="1"/>
  <c r="G99" i="1" s="1"/>
  <c r="H99" i="1" s="1"/>
  <c r="I99" i="1" s="1"/>
  <c r="J99" i="1" s="1"/>
  <c r="I95" i="1"/>
  <c r="J91" i="1"/>
  <c r="J95" i="1" s="1"/>
  <c r="I91" i="1"/>
  <c r="H91" i="1"/>
  <c r="H95" i="1" s="1"/>
  <c r="G91" i="1"/>
  <c r="G95" i="1" s="1"/>
  <c r="F91" i="1"/>
  <c r="J88" i="1"/>
  <c r="I88" i="1"/>
  <c r="J87" i="1"/>
  <c r="I86" i="1"/>
  <c r="I87" i="1" s="1"/>
  <c r="I60" i="1"/>
  <c r="K57" i="1"/>
  <c r="E135" i="1" s="1"/>
  <c r="F135" i="1" s="1"/>
  <c r="F56" i="1"/>
  <c r="F60" i="1" s="1"/>
  <c r="K55" i="1"/>
  <c r="F44" i="1"/>
  <c r="J40" i="1"/>
  <c r="I40" i="1"/>
  <c r="H40" i="1"/>
  <c r="G40" i="1"/>
  <c r="F40" i="1"/>
  <c r="F34" i="1"/>
  <c r="F31" i="1" s="1"/>
  <c r="F24" i="1"/>
  <c r="F21" i="1"/>
  <c r="J20" i="1"/>
  <c r="I20" i="1"/>
  <c r="H20" i="1"/>
  <c r="G20" i="1"/>
  <c r="F20" i="1"/>
  <c r="F22" i="1" s="1"/>
  <c r="F25" i="1" s="1"/>
  <c r="F18" i="1"/>
  <c r="G18" i="1" s="1"/>
  <c r="H18" i="1" s="1"/>
  <c r="I18" i="1" s="1"/>
  <c r="J18" i="1" s="1"/>
  <c r="J14" i="1"/>
  <c r="I13" i="1"/>
  <c r="H13" i="1" s="1"/>
  <c r="F138" i="1" l="1"/>
  <c r="L346" i="1"/>
  <c r="D253" i="1"/>
  <c r="C335" i="1" s="1"/>
  <c r="C338" i="1" s="1"/>
  <c r="M344" i="1"/>
  <c r="M346" i="1" s="1"/>
  <c r="H250" i="1"/>
  <c r="E308" i="1"/>
  <c r="F308" i="1" s="1"/>
  <c r="G308" i="1" s="1"/>
  <c r="K56" i="1"/>
  <c r="F68" i="1" s="1"/>
  <c r="F70" i="1" s="1"/>
  <c r="D98" i="1"/>
  <c r="D132" i="1"/>
  <c r="C208" i="1" s="1"/>
  <c r="C211" i="1" s="1"/>
  <c r="G146" i="1"/>
  <c r="G250" i="1"/>
  <c r="G17" i="3"/>
  <c r="G18" i="3" s="1"/>
  <c r="F24" i="3"/>
  <c r="H10" i="2"/>
  <c r="H14" i="1"/>
  <c r="G13" i="1"/>
  <c r="F26" i="1"/>
  <c r="G24" i="1" s="1"/>
  <c r="F28" i="1"/>
  <c r="G154" i="1"/>
  <c r="E169" i="1"/>
  <c r="I14" i="1"/>
  <c r="F41" i="1"/>
  <c r="F42" i="1" s="1"/>
  <c r="H86" i="1"/>
  <c r="E119" i="1"/>
  <c r="F119" i="1" s="1"/>
  <c r="G119" i="1" s="1"/>
  <c r="H119" i="1" s="1"/>
  <c r="I119" i="1" s="1"/>
  <c r="J119" i="1" s="1"/>
  <c r="E113" i="1"/>
  <c r="F113" i="1" s="1"/>
  <c r="E101" i="1"/>
  <c r="F101" i="1" s="1"/>
  <c r="E118" i="1"/>
  <c r="F118" i="1" s="1"/>
  <c r="E121" i="1"/>
  <c r="F133" i="1"/>
  <c r="G133" i="1" s="1"/>
  <c r="H133" i="1" s="1"/>
  <c r="I133" i="1" s="1"/>
  <c r="J133" i="1" s="1"/>
  <c r="H146" i="1"/>
  <c r="H154" i="1"/>
  <c r="I152" i="1"/>
  <c r="C209" i="1"/>
  <c r="C212" i="1" s="1"/>
  <c r="B176" i="1"/>
  <c r="F311" i="1"/>
  <c r="G135" i="1"/>
  <c r="H308" i="1"/>
  <c r="E148" i="1"/>
  <c r="E152" i="1"/>
  <c r="F154" i="1"/>
  <c r="F329" i="1"/>
  <c r="J329" i="1"/>
  <c r="J250" i="1"/>
  <c r="F268" i="1"/>
  <c r="G267" i="1"/>
  <c r="F292" i="1"/>
  <c r="G291" i="1"/>
  <c r="E155" i="1"/>
  <c r="E191" i="1"/>
  <c r="E185" i="1"/>
  <c r="E188" i="1"/>
  <c r="F188" i="1" s="1"/>
  <c r="E183" i="1"/>
  <c r="F183" i="1" s="1"/>
  <c r="G242" i="1"/>
  <c r="H244" i="1"/>
  <c r="F320" i="1"/>
  <c r="G319" i="1"/>
  <c r="I243" i="1"/>
  <c r="I250" i="1"/>
  <c r="E254" i="1"/>
  <c r="F254" i="1" s="1"/>
  <c r="G254" i="1" s="1"/>
  <c r="H254" i="1" s="1"/>
  <c r="I254" i="1" s="1"/>
  <c r="J254" i="1" s="1"/>
  <c r="E256" i="1"/>
  <c r="F256" i="1" s="1"/>
  <c r="E293" i="1"/>
  <c r="D278" i="1"/>
  <c r="C336" i="1" s="1"/>
  <c r="C339" i="1" s="1"/>
  <c r="E269" i="1"/>
  <c r="N344" i="1"/>
  <c r="E321" i="1"/>
  <c r="L348" i="1"/>
  <c r="M348" i="1" s="1"/>
  <c r="N348" i="1" s="1"/>
  <c r="O348" i="1" s="1"/>
  <c r="P348" i="1" s="1"/>
  <c r="Q348" i="1" s="1"/>
  <c r="R348" i="1" s="1"/>
  <c r="S348" i="1" s="1"/>
  <c r="F282" i="1"/>
  <c r="D305" i="1"/>
  <c r="C207" i="1" l="1"/>
  <c r="C210" i="1" s="1"/>
  <c r="B106" i="1"/>
  <c r="E171" i="1"/>
  <c r="F171" i="1" s="1"/>
  <c r="G171" i="1" s="1"/>
  <c r="B261" i="1"/>
  <c r="F31" i="3"/>
  <c r="F32" i="3" s="1"/>
  <c r="G30" i="3" s="1"/>
  <c r="G10" i="2"/>
  <c r="H267" i="1"/>
  <c r="E189" i="1"/>
  <c r="F189" i="1" s="1"/>
  <c r="G189" i="1" s="1"/>
  <c r="H189" i="1" s="1"/>
  <c r="I189" i="1" s="1"/>
  <c r="J189" i="1" s="1"/>
  <c r="F169" i="1"/>
  <c r="G169" i="1" s="1"/>
  <c r="H169" i="1" s="1"/>
  <c r="I169" i="1" s="1"/>
  <c r="J169" i="1" s="1"/>
  <c r="F293" i="1"/>
  <c r="F174" i="1"/>
  <c r="F330" i="1"/>
  <c r="F332" i="1" s="1"/>
  <c r="F148" i="1"/>
  <c r="G118" i="1"/>
  <c r="F120" i="1"/>
  <c r="F121" i="1" s="1"/>
  <c r="H88" i="1"/>
  <c r="H87" i="1"/>
  <c r="G86" i="1"/>
  <c r="G156" i="1"/>
  <c r="G21" i="1"/>
  <c r="G22" i="1" s="1"/>
  <c r="G25" i="1" s="1"/>
  <c r="G28" i="1" s="1"/>
  <c r="F184" i="1"/>
  <c r="G183" i="1"/>
  <c r="F155" i="1"/>
  <c r="F143" i="1" s="1"/>
  <c r="H155" i="1"/>
  <c r="H143" i="1" s="1"/>
  <c r="G155" i="1"/>
  <c r="G143" i="1" s="1"/>
  <c r="I308" i="1"/>
  <c r="I146" i="1"/>
  <c r="F321" i="1"/>
  <c r="G256" i="1"/>
  <c r="F259" i="1"/>
  <c r="H319" i="1"/>
  <c r="G243" i="1"/>
  <c r="F242" i="1"/>
  <c r="G244" i="1"/>
  <c r="G188" i="1"/>
  <c r="H291" i="1"/>
  <c r="J152" i="1"/>
  <c r="J154" i="1" s="1"/>
  <c r="I154" i="1"/>
  <c r="I155" i="1" s="1"/>
  <c r="I143" i="1" s="1"/>
  <c r="F104" i="1"/>
  <c r="G101" i="1"/>
  <c r="G14" i="1"/>
  <c r="F13" i="1"/>
  <c r="F14" i="1" s="1"/>
  <c r="C337" i="1"/>
  <c r="C340" i="1" s="1"/>
  <c r="B313" i="1"/>
  <c r="N346" i="1"/>
  <c r="O344" i="1"/>
  <c r="F269" i="1"/>
  <c r="F270" i="1" s="1"/>
  <c r="F322" i="1"/>
  <c r="F294" i="1"/>
  <c r="F159" i="1"/>
  <c r="G159" i="1" s="1"/>
  <c r="H159" i="1" s="1"/>
  <c r="I159" i="1" s="1"/>
  <c r="H135" i="1"/>
  <c r="H156" i="1"/>
  <c r="F114" i="1"/>
  <c r="G113" i="1"/>
  <c r="F156" i="1" l="1"/>
  <c r="F248" i="1"/>
  <c r="F250" i="1" s="1"/>
  <c r="J159" i="1"/>
  <c r="F190" i="1"/>
  <c r="F191" i="1" s="1"/>
  <c r="F192" i="1" s="1"/>
  <c r="G33" i="3"/>
  <c r="G12" i="3" s="1"/>
  <c r="G27" i="3"/>
  <c r="G28" i="3" s="1"/>
  <c r="F35" i="3"/>
  <c r="F38" i="3" s="1"/>
  <c r="F39" i="3" s="1"/>
  <c r="G37" i="3" s="1"/>
  <c r="F10" i="2"/>
  <c r="I319" i="1"/>
  <c r="J308" i="1"/>
  <c r="F202" i="1"/>
  <c r="F122" i="1"/>
  <c r="F211" i="1"/>
  <c r="F142" i="1"/>
  <c r="F158" i="1" s="1"/>
  <c r="F150" i="1"/>
  <c r="F149" i="1"/>
  <c r="I267" i="1"/>
  <c r="F185" i="1"/>
  <c r="F186" i="1" s="1"/>
  <c r="I156" i="1"/>
  <c r="I291" i="1"/>
  <c r="G88" i="1"/>
  <c r="F86" i="1"/>
  <c r="G87" i="1"/>
  <c r="H118" i="1"/>
  <c r="G120" i="1"/>
  <c r="P344" i="1"/>
  <c r="O346" i="1"/>
  <c r="H113" i="1"/>
  <c r="I135" i="1"/>
  <c r="F338" i="1"/>
  <c r="F264" i="1"/>
  <c r="F272" i="1" s="1"/>
  <c r="F244" i="1"/>
  <c r="F236" i="1" s="1"/>
  <c r="F243" i="1"/>
  <c r="F263" i="1"/>
  <c r="J146" i="1"/>
  <c r="J155" i="1"/>
  <c r="J143" i="1" s="1"/>
  <c r="F201" i="1"/>
  <c r="F116" i="1"/>
  <c r="F115" i="1"/>
  <c r="F124" i="1"/>
  <c r="F110" i="1"/>
  <c r="H101" i="1"/>
  <c r="G190" i="1"/>
  <c r="H188" i="1"/>
  <c r="H256" i="1"/>
  <c r="F340" i="1"/>
  <c r="F324" i="1"/>
  <c r="F316" i="1"/>
  <c r="H183" i="1"/>
  <c r="G26" i="1"/>
  <c r="H24" i="1" s="1"/>
  <c r="H171" i="1"/>
  <c r="F339" i="1"/>
  <c r="F288" i="1"/>
  <c r="F297" i="1" s="1"/>
  <c r="F295" i="1"/>
  <c r="F92" i="1" l="1"/>
  <c r="F204" i="1"/>
  <c r="G40" i="3"/>
  <c r="G13" i="3" s="1"/>
  <c r="G14" i="3"/>
  <c r="I183" i="1"/>
  <c r="G258" i="1"/>
  <c r="I113" i="1"/>
  <c r="I171" i="1"/>
  <c r="G191" i="1"/>
  <c r="G180" i="1" s="1"/>
  <c r="G103" i="1"/>
  <c r="F239" i="1"/>
  <c r="I225" i="1"/>
  <c r="G202" i="1"/>
  <c r="G121" i="1"/>
  <c r="G110" i="1" s="1"/>
  <c r="G283" i="1"/>
  <c r="I256" i="1"/>
  <c r="I101" i="1"/>
  <c r="J156" i="1"/>
  <c r="H120" i="1"/>
  <c r="I118" i="1"/>
  <c r="J291" i="1"/>
  <c r="F179" i="1"/>
  <c r="F212" i="1"/>
  <c r="F93" i="1"/>
  <c r="F95" i="1" s="1"/>
  <c r="I188" i="1"/>
  <c r="H190" i="1"/>
  <c r="F194" i="1"/>
  <c r="F180" i="1"/>
  <c r="F88" i="1"/>
  <c r="F87" i="1"/>
  <c r="F8" i="1" s="1"/>
  <c r="F5" i="1" s="1"/>
  <c r="H21" i="1"/>
  <c r="H22" i="1" s="1"/>
  <c r="H25" i="1" s="1"/>
  <c r="H28" i="1" s="1"/>
  <c r="G310" i="1"/>
  <c r="F210" i="1"/>
  <c r="F109" i="1"/>
  <c r="F335" i="1"/>
  <c r="F265" i="1"/>
  <c r="G262" i="1" s="1"/>
  <c r="J135" i="1"/>
  <c r="P346" i="1"/>
  <c r="Q344" i="1"/>
  <c r="J267" i="1"/>
  <c r="G137" i="1"/>
  <c r="J319" i="1"/>
  <c r="F275" i="1"/>
  <c r="G192" i="1" l="1"/>
  <c r="G21" i="3"/>
  <c r="G22" i="3" s="1"/>
  <c r="H20" i="3" s="1"/>
  <c r="J188" i="1"/>
  <c r="J190" i="1" s="1"/>
  <c r="I190" i="1"/>
  <c r="I120" i="1"/>
  <c r="J118" i="1"/>
  <c r="J120" i="1" s="1"/>
  <c r="F108" i="1"/>
  <c r="F129" i="1" s="1"/>
  <c r="H26" i="1"/>
  <c r="I24" i="1" s="1"/>
  <c r="H202" i="1"/>
  <c r="H121" i="1"/>
  <c r="H110" i="1" s="1"/>
  <c r="J101" i="1"/>
  <c r="G122" i="1"/>
  <c r="G93" i="1" s="1"/>
  <c r="J171" i="1"/>
  <c r="Q346" i="1"/>
  <c r="R344" i="1"/>
  <c r="G257" i="1"/>
  <c r="G259" i="1" s="1"/>
  <c r="G263" i="1" s="1"/>
  <c r="G268" i="1"/>
  <c r="J113" i="1"/>
  <c r="G30" i="1"/>
  <c r="J30" i="1"/>
  <c r="F30" i="1"/>
  <c r="F32" i="1" s="1"/>
  <c r="F35" i="1" s="1"/>
  <c r="F6" i="1"/>
  <c r="F10" i="1" s="1"/>
  <c r="H30" i="1"/>
  <c r="I30" i="1"/>
  <c r="G173" i="1"/>
  <c r="J256" i="1"/>
  <c r="I222" i="1"/>
  <c r="E281" i="1" s="1"/>
  <c r="F281" i="1" s="1"/>
  <c r="J183" i="1"/>
  <c r="F79" i="1"/>
  <c r="E162" i="1"/>
  <c r="J57" i="1" s="1"/>
  <c r="H191" i="1"/>
  <c r="H17" i="3" l="1"/>
  <c r="H18" i="3" s="1"/>
  <c r="G24" i="3"/>
  <c r="F141" i="1"/>
  <c r="G281" i="1"/>
  <c r="F284" i="1"/>
  <c r="F287" i="1" s="1"/>
  <c r="I191" i="1"/>
  <c r="I180" i="1" s="1"/>
  <c r="G270" i="1"/>
  <c r="G269" i="1"/>
  <c r="H122" i="1"/>
  <c r="J191" i="1"/>
  <c r="J180" i="1" s="1"/>
  <c r="R346" i="1"/>
  <c r="S344" i="1"/>
  <c r="S346" i="1" s="1"/>
  <c r="F207" i="1"/>
  <c r="F111" i="1"/>
  <c r="G107" i="1" s="1"/>
  <c r="H180" i="1"/>
  <c r="F36" i="1"/>
  <c r="G34" i="1" s="1"/>
  <c r="F38" i="1"/>
  <c r="F45" i="1" s="1"/>
  <c r="F46" i="1" s="1"/>
  <c r="G44" i="1" s="1"/>
  <c r="G335" i="1"/>
  <c r="G275" i="1"/>
  <c r="J202" i="1"/>
  <c r="J121" i="1"/>
  <c r="J110" i="1" s="1"/>
  <c r="I21" i="1"/>
  <c r="I22" i="1" s="1"/>
  <c r="I25" i="1" s="1"/>
  <c r="I28" i="1" s="1"/>
  <c r="H192" i="1"/>
  <c r="I202" i="1"/>
  <c r="I121" i="1"/>
  <c r="I110" i="1" s="1"/>
  <c r="J192" i="1" l="1"/>
  <c r="E197" i="1"/>
  <c r="I192" i="1"/>
  <c r="I26" i="1"/>
  <c r="J24" i="1" s="1"/>
  <c r="J21" i="1" s="1"/>
  <c r="J22" i="1" s="1"/>
  <c r="J25" i="1" s="1"/>
  <c r="J28" i="1" s="1"/>
  <c r="G31" i="3"/>
  <c r="G32" i="3" s="1"/>
  <c r="H30" i="3" s="1"/>
  <c r="G31" i="1"/>
  <c r="G32" i="1" s="1"/>
  <c r="G35" i="1" s="1"/>
  <c r="G38" i="1" s="1"/>
  <c r="F336" i="1"/>
  <c r="F289" i="1"/>
  <c r="G286" i="1" s="1"/>
  <c r="F302" i="1"/>
  <c r="F315" i="1" s="1"/>
  <c r="J122" i="1"/>
  <c r="J93" i="1" s="1"/>
  <c r="G338" i="1"/>
  <c r="G264" i="1"/>
  <c r="H281" i="1"/>
  <c r="E127" i="1"/>
  <c r="J55" i="1" s="1"/>
  <c r="H60" i="1" s="1"/>
  <c r="I56" i="1"/>
  <c r="J56" i="1"/>
  <c r="F144" i="1"/>
  <c r="G140" i="1" s="1"/>
  <c r="F208" i="1"/>
  <c r="G102" i="1"/>
  <c r="G104" i="1" s="1"/>
  <c r="G108" i="1" s="1"/>
  <c r="G114" i="1"/>
  <c r="I122" i="1"/>
  <c r="I93" i="1" s="1"/>
  <c r="G41" i="1"/>
  <c r="G42" i="1" s="1"/>
  <c r="G45" i="1" s="1"/>
  <c r="G46" i="1" s="1"/>
  <c r="H44" i="1" s="1"/>
  <c r="E350" i="1"/>
  <c r="H93" i="1"/>
  <c r="F82" i="1" s="1"/>
  <c r="F165" i="1"/>
  <c r="F178" i="1" s="1"/>
  <c r="H27" i="3" l="1"/>
  <c r="H28" i="3" s="1"/>
  <c r="H33" i="3"/>
  <c r="H12" i="3" s="1"/>
  <c r="G35" i="3"/>
  <c r="G38" i="3" s="1"/>
  <c r="G39" i="3" s="1"/>
  <c r="H37" i="3" s="1"/>
  <c r="F341" i="1"/>
  <c r="J355" i="1"/>
  <c r="K353" i="1" s="1"/>
  <c r="F223" i="1"/>
  <c r="I281" i="1"/>
  <c r="H41" i="1"/>
  <c r="H42" i="1" s="1"/>
  <c r="G136" i="1"/>
  <c r="G138" i="1" s="1"/>
  <c r="G147" i="1"/>
  <c r="G272" i="1"/>
  <c r="G265" i="1"/>
  <c r="H262" i="1" s="1"/>
  <c r="F337" i="1"/>
  <c r="F317" i="1"/>
  <c r="G314" i="1" s="1"/>
  <c r="G207" i="1"/>
  <c r="G129" i="1"/>
  <c r="F181" i="1"/>
  <c r="G177" i="1" s="1"/>
  <c r="F209" i="1"/>
  <c r="F213" i="1" s="1"/>
  <c r="G115" i="1"/>
  <c r="J26" i="1"/>
  <c r="G282" i="1"/>
  <c r="G284" i="1" s="1"/>
  <c r="G287" i="1" s="1"/>
  <c r="G292" i="1"/>
  <c r="G36" i="1"/>
  <c r="H34" i="1" s="1"/>
  <c r="H40" i="3" l="1"/>
  <c r="H13" i="3" s="1"/>
  <c r="H14" i="3" s="1"/>
  <c r="E306" i="1"/>
  <c r="F306" i="1" s="1"/>
  <c r="G306" i="1" s="1"/>
  <c r="H306" i="1" s="1"/>
  <c r="I306" i="1" s="1"/>
  <c r="J306" i="1" s="1"/>
  <c r="H31" i="1"/>
  <c r="H32" i="1" s="1"/>
  <c r="H35" i="1" s="1"/>
  <c r="H38" i="1" s="1"/>
  <c r="H45" i="1" s="1"/>
  <c r="H46" i="1" s="1"/>
  <c r="I44" i="1" s="1"/>
  <c r="G165" i="1"/>
  <c r="G141" i="1"/>
  <c r="G148" i="1"/>
  <c r="G149" i="1" s="1"/>
  <c r="K357" i="1"/>
  <c r="K354" i="1" s="1"/>
  <c r="K355" i="1" s="1"/>
  <c r="L353" i="1" s="1"/>
  <c r="H258" i="1"/>
  <c r="G293" i="1"/>
  <c r="G294" i="1" s="1"/>
  <c r="G210" i="1"/>
  <c r="G109" i="1"/>
  <c r="G111" i="1" s="1"/>
  <c r="H107" i="1" s="1"/>
  <c r="G124" i="1"/>
  <c r="J281" i="1"/>
  <c r="G336" i="1"/>
  <c r="G302" i="1"/>
  <c r="G116" i="1"/>
  <c r="G172" i="1"/>
  <c r="G174" i="1" s="1"/>
  <c r="G184" i="1"/>
  <c r="G309" i="1"/>
  <c r="G311" i="1" s="1"/>
  <c r="G315" i="1" s="1"/>
  <c r="G320" i="1"/>
  <c r="G330" i="1" s="1"/>
  <c r="G332" i="1" s="1"/>
  <c r="H257" i="1"/>
  <c r="H268" i="1"/>
  <c r="G178" i="1" l="1"/>
  <c r="H21" i="3"/>
  <c r="H22" i="3" s="1"/>
  <c r="I20" i="3" s="1"/>
  <c r="L357" i="1"/>
  <c r="L354" i="1" s="1"/>
  <c r="L355" i="1" s="1"/>
  <c r="M353" i="1" s="1"/>
  <c r="I41" i="1"/>
  <c r="I42" i="1" s="1"/>
  <c r="G337" i="1"/>
  <c r="H259" i="1"/>
  <c r="H263" i="1" s="1"/>
  <c r="H103" i="1"/>
  <c r="H36" i="1"/>
  <c r="I34" i="1" s="1"/>
  <c r="H269" i="1"/>
  <c r="H270" i="1" s="1"/>
  <c r="G211" i="1"/>
  <c r="G142" i="1"/>
  <c r="G158" i="1" s="1"/>
  <c r="G150" i="1"/>
  <c r="G185" i="1"/>
  <c r="G201" i="1"/>
  <c r="G204" i="1" s="1"/>
  <c r="G288" i="1"/>
  <c r="G339" i="1"/>
  <c r="G295" i="1"/>
  <c r="G208" i="1"/>
  <c r="G144" i="1"/>
  <c r="H140" i="1" s="1"/>
  <c r="G209" i="1"/>
  <c r="G321" i="1"/>
  <c r="H102" i="1"/>
  <c r="H104" i="1" s="1"/>
  <c r="H108" i="1" s="1"/>
  <c r="H114" i="1"/>
  <c r="I17" i="3" l="1"/>
  <c r="I18" i="3" s="1"/>
  <c r="H24" i="3"/>
  <c r="M357" i="1"/>
  <c r="M354" i="1" s="1"/>
  <c r="M355" i="1"/>
  <c r="N353" i="1" s="1"/>
  <c r="G297" i="1"/>
  <c r="G289" i="1"/>
  <c r="H286" i="1" s="1"/>
  <c r="H115" i="1"/>
  <c r="H116" i="1" s="1"/>
  <c r="H338" i="1"/>
  <c r="H264" i="1"/>
  <c r="H272" i="1" s="1"/>
  <c r="H335" i="1"/>
  <c r="H275" i="1"/>
  <c r="H265" i="1"/>
  <c r="I262" i="1" s="1"/>
  <c r="I31" i="1"/>
  <c r="I32" i="1" s="1"/>
  <c r="I35" i="1" s="1"/>
  <c r="I38" i="1" s="1"/>
  <c r="I45" i="1" s="1"/>
  <c r="I46" i="1" s="1"/>
  <c r="J44" i="1" s="1"/>
  <c r="G340" i="1"/>
  <c r="G341" i="1" s="1"/>
  <c r="G316" i="1"/>
  <c r="G317" i="1" s="1"/>
  <c r="H314" i="1" s="1"/>
  <c r="G324" i="1"/>
  <c r="H136" i="1"/>
  <c r="H147" i="1"/>
  <c r="G179" i="1"/>
  <c r="G181" i="1" s="1"/>
  <c r="H177" i="1" s="1"/>
  <c r="G212" i="1"/>
  <c r="G213" i="1" s="1"/>
  <c r="G194" i="1"/>
  <c r="H137" i="1"/>
  <c r="H207" i="1"/>
  <c r="H129" i="1"/>
  <c r="G322" i="1"/>
  <c r="G248" i="1" s="1"/>
  <c r="G186" i="1"/>
  <c r="G92" i="1" s="1"/>
  <c r="H31" i="3" l="1"/>
  <c r="H32" i="3" s="1"/>
  <c r="I30" i="3" s="1"/>
  <c r="J41" i="1"/>
  <c r="J42" i="1" s="1"/>
  <c r="H283" i="1"/>
  <c r="H173" i="1"/>
  <c r="H148" i="1"/>
  <c r="H149" i="1" s="1"/>
  <c r="I36" i="1"/>
  <c r="J34" i="1" s="1"/>
  <c r="H309" i="1"/>
  <c r="H320" i="1"/>
  <c r="I257" i="1"/>
  <c r="I268" i="1"/>
  <c r="N357" i="1"/>
  <c r="N354" i="1" s="1"/>
  <c r="N355" i="1" s="1"/>
  <c r="O353" i="1" s="1"/>
  <c r="H172" i="1"/>
  <c r="H174" i="1" s="1"/>
  <c r="H184" i="1"/>
  <c r="H201" i="1" s="1"/>
  <c r="H204" i="1" s="1"/>
  <c r="H310" i="1"/>
  <c r="H138" i="1"/>
  <c r="H141" i="1" s="1"/>
  <c r="I258" i="1"/>
  <c r="H210" i="1"/>
  <c r="H109" i="1"/>
  <c r="H111" i="1" s="1"/>
  <c r="I107" i="1" s="1"/>
  <c r="H124" i="1"/>
  <c r="H282" i="1"/>
  <c r="H284" i="1" s="1"/>
  <c r="H287" i="1" s="1"/>
  <c r="H292" i="1"/>
  <c r="I259" i="1" l="1"/>
  <c r="I263" i="1" s="1"/>
  <c r="I275" i="1" s="1"/>
  <c r="I27" i="3"/>
  <c r="I28" i="3" s="1"/>
  <c r="I33" i="3"/>
  <c r="I12" i="3" s="1"/>
  <c r="H35" i="3"/>
  <c r="H38" i="3" s="1"/>
  <c r="H39" i="3" s="1"/>
  <c r="I37" i="3" s="1"/>
  <c r="H336" i="1"/>
  <c r="H302" i="1"/>
  <c r="H208" i="1"/>
  <c r="H165" i="1"/>
  <c r="O357" i="1"/>
  <c r="O354" i="1" s="1"/>
  <c r="O355" i="1" s="1"/>
  <c r="P353" i="1" s="1"/>
  <c r="I335" i="1"/>
  <c r="H178" i="1"/>
  <c r="I102" i="1"/>
  <c r="I114" i="1"/>
  <c r="I103" i="1"/>
  <c r="H321" i="1"/>
  <c r="H322" i="1" s="1"/>
  <c r="H185" i="1"/>
  <c r="H211" i="1"/>
  <c r="H142" i="1"/>
  <c r="H158" i="1" s="1"/>
  <c r="H150" i="1"/>
  <c r="H293" i="1"/>
  <c r="H330" i="1"/>
  <c r="H332" i="1" s="1"/>
  <c r="I269" i="1"/>
  <c r="H311" i="1"/>
  <c r="H315" i="1" s="1"/>
  <c r="J31" i="1"/>
  <c r="J32" i="1" s="1"/>
  <c r="J35" i="1" s="1"/>
  <c r="J38" i="1" s="1"/>
  <c r="J45" i="1" s="1"/>
  <c r="J46" i="1" s="1"/>
  <c r="J36" i="1" l="1"/>
  <c r="I40" i="3"/>
  <c r="I13" i="3" s="1"/>
  <c r="I14" i="3" s="1"/>
  <c r="P357" i="1"/>
  <c r="P354" i="1" s="1"/>
  <c r="P355" i="1" s="1"/>
  <c r="Q353" i="1" s="1"/>
  <c r="I338" i="1"/>
  <c r="I264" i="1"/>
  <c r="H339" i="1"/>
  <c r="H288" i="1"/>
  <c r="H295" i="1"/>
  <c r="I137" i="1"/>
  <c r="H144" i="1"/>
  <c r="I140" i="1" s="1"/>
  <c r="I270" i="1"/>
  <c r="H294" i="1"/>
  <c r="H248" i="1" s="1"/>
  <c r="H340" i="1"/>
  <c r="H316" i="1"/>
  <c r="H317" i="1" s="1"/>
  <c r="I314" i="1" s="1"/>
  <c r="H324" i="1"/>
  <c r="I116" i="1"/>
  <c r="I115" i="1"/>
  <c r="H209" i="1"/>
  <c r="H213" i="1" s="1"/>
  <c r="H181" i="1"/>
  <c r="I177" i="1" s="1"/>
  <c r="H179" i="1"/>
  <c r="H212" i="1"/>
  <c r="H194" i="1"/>
  <c r="I104" i="1"/>
  <c r="I108" i="1" s="1"/>
  <c r="H341" i="1"/>
  <c r="H337" i="1"/>
  <c r="H186" i="1"/>
  <c r="H92" i="1" s="1"/>
  <c r="I21" i="3" l="1"/>
  <c r="I22" i="3" s="1"/>
  <c r="J20" i="3" s="1"/>
  <c r="I309" i="1"/>
  <c r="I320" i="1"/>
  <c r="I272" i="1"/>
  <c r="I265" i="1"/>
  <c r="J262" i="1" s="1"/>
  <c r="I207" i="1"/>
  <c r="I129" i="1"/>
  <c r="I310" i="1"/>
  <c r="H297" i="1"/>
  <c r="H289" i="1"/>
  <c r="I286" i="1" s="1"/>
  <c r="I173" i="1"/>
  <c r="I210" i="1"/>
  <c r="I109" i="1"/>
  <c r="I111" i="1" s="1"/>
  <c r="J107" i="1" s="1"/>
  <c r="I124" i="1"/>
  <c r="I172" i="1"/>
  <c r="I174" i="1" s="1"/>
  <c r="I184" i="1"/>
  <c r="I136" i="1"/>
  <c r="I138" i="1" s="1"/>
  <c r="I147" i="1"/>
  <c r="Q357" i="1"/>
  <c r="Q354" i="1" s="1"/>
  <c r="Q355" i="1" s="1"/>
  <c r="R353" i="1" s="1"/>
  <c r="J17" i="3" l="1"/>
  <c r="J18" i="3" s="1"/>
  <c r="I24" i="3"/>
  <c r="J102" i="1"/>
  <c r="J114" i="1"/>
  <c r="R357" i="1"/>
  <c r="R354" i="1" s="1"/>
  <c r="R355" i="1" s="1"/>
  <c r="S353" i="1" s="1"/>
  <c r="I148" i="1"/>
  <c r="I201" i="1"/>
  <c r="I204" i="1" s="1"/>
  <c r="I186" i="1"/>
  <c r="I185" i="1"/>
  <c r="I283" i="1"/>
  <c r="J258" i="1"/>
  <c r="J103" i="1"/>
  <c r="I141" i="1"/>
  <c r="I321" i="1"/>
  <c r="I322" i="1" s="1"/>
  <c r="I311" i="1"/>
  <c r="I282" i="1"/>
  <c r="I284" i="1" s="1"/>
  <c r="I287" i="1" s="1"/>
  <c r="I292" i="1"/>
  <c r="J257" i="1"/>
  <c r="J268" i="1"/>
  <c r="J259" i="1" l="1"/>
  <c r="J263" i="1" s="1"/>
  <c r="J335" i="1" s="1"/>
  <c r="I31" i="3"/>
  <c r="I32" i="3" s="1"/>
  <c r="J30" i="3" s="1"/>
  <c r="J275" i="1"/>
  <c r="E263" i="1"/>
  <c r="I208" i="1"/>
  <c r="I211" i="1"/>
  <c r="I142" i="1"/>
  <c r="I158" i="1" s="1"/>
  <c r="I150" i="1"/>
  <c r="J115" i="1"/>
  <c r="J116" i="1" s="1"/>
  <c r="I294" i="1"/>
  <c r="I248" i="1" s="1"/>
  <c r="I293" i="1"/>
  <c r="I330" i="1"/>
  <c r="I332" i="1" s="1"/>
  <c r="I165" i="1"/>
  <c r="I178" i="1" s="1"/>
  <c r="I212" i="1"/>
  <c r="I179" i="1"/>
  <c r="I194" i="1"/>
  <c r="I149" i="1"/>
  <c r="I92" i="1" s="1"/>
  <c r="J269" i="1"/>
  <c r="I336" i="1"/>
  <c r="I302" i="1"/>
  <c r="I315" i="1" s="1"/>
  <c r="I340" i="1"/>
  <c r="I316" i="1"/>
  <c r="I324" i="1"/>
  <c r="S357" i="1"/>
  <c r="S354" i="1" s="1"/>
  <c r="S355" i="1" s="1"/>
  <c r="J104" i="1"/>
  <c r="J108" i="1" s="1"/>
  <c r="J33" i="3" l="1"/>
  <c r="J12" i="3" s="1"/>
  <c r="J27" i="3"/>
  <c r="J28" i="3" s="1"/>
  <c r="I35" i="3"/>
  <c r="I38" i="3" s="1"/>
  <c r="I39" i="3" s="1"/>
  <c r="J37" i="3" s="1"/>
  <c r="I337" i="1"/>
  <c r="I317" i="1"/>
  <c r="J314" i="1" s="1"/>
  <c r="I209" i="1"/>
  <c r="I213" i="1" s="1"/>
  <c r="I181" i="1"/>
  <c r="J177" i="1" s="1"/>
  <c r="J210" i="1"/>
  <c r="J109" i="1"/>
  <c r="E126" i="1"/>
  <c r="J124" i="1"/>
  <c r="J338" i="1"/>
  <c r="J264" i="1"/>
  <c r="E273" i="1"/>
  <c r="J173" i="1"/>
  <c r="J137" i="1"/>
  <c r="J310" i="1"/>
  <c r="I339" i="1"/>
  <c r="I288" i="1"/>
  <c r="I295" i="1"/>
  <c r="J207" i="1"/>
  <c r="J129" i="1"/>
  <c r="E108" i="1"/>
  <c r="J111" i="1"/>
  <c r="J270" i="1"/>
  <c r="I144" i="1"/>
  <c r="J140" i="1" s="1"/>
  <c r="I341" i="1" l="1"/>
  <c r="J40" i="3"/>
  <c r="J13" i="3" s="1"/>
  <c r="J14" i="3" s="1"/>
  <c r="J136" i="1"/>
  <c r="J138" i="1" s="1"/>
  <c r="J147" i="1"/>
  <c r="E255" i="1"/>
  <c r="F255" i="1" s="1"/>
  <c r="G255" i="1" s="1"/>
  <c r="H255" i="1" s="1"/>
  <c r="I255" i="1" s="1"/>
  <c r="J255" i="1" s="1"/>
  <c r="G221" i="1"/>
  <c r="J141" i="1"/>
  <c r="I297" i="1"/>
  <c r="I289" i="1"/>
  <c r="J286" i="1" s="1"/>
  <c r="J272" i="1"/>
  <c r="J265" i="1"/>
  <c r="J172" i="1"/>
  <c r="J174" i="1" s="1"/>
  <c r="J184" i="1"/>
  <c r="J309" i="1"/>
  <c r="J311" i="1" s="1"/>
  <c r="J320" i="1"/>
  <c r="E100" i="1"/>
  <c r="F100" i="1" s="1"/>
  <c r="G100" i="1" s="1"/>
  <c r="H100" i="1" s="1"/>
  <c r="I100" i="1" s="1"/>
  <c r="J100" i="1" s="1"/>
  <c r="I55" i="1"/>
  <c r="E14" i="3" l="1"/>
  <c r="J21" i="3"/>
  <c r="J22" i="3" s="1"/>
  <c r="J321" i="1"/>
  <c r="J282" i="1"/>
  <c r="J292" i="1"/>
  <c r="J283" i="1"/>
  <c r="J148" i="1"/>
  <c r="J201" i="1"/>
  <c r="J204" i="1" s="1"/>
  <c r="J208" i="1"/>
  <c r="E141" i="1"/>
  <c r="E142" i="1" s="1"/>
  <c r="E143" i="1" s="1"/>
  <c r="J185" i="1"/>
  <c r="J186" i="1" s="1"/>
  <c r="J165" i="1"/>
  <c r="J178" i="1" s="1"/>
  <c r="J24" i="3" l="1"/>
  <c r="J209" i="1"/>
  <c r="E178" i="1"/>
  <c r="J181" i="1"/>
  <c r="J179" i="1"/>
  <c r="J212" i="1"/>
  <c r="E196" i="1"/>
  <c r="E170" i="1" s="1"/>
  <c r="F170" i="1" s="1"/>
  <c r="G170" i="1" s="1"/>
  <c r="H170" i="1" s="1"/>
  <c r="I170" i="1" s="1"/>
  <c r="J170" i="1" s="1"/>
  <c r="J194" i="1"/>
  <c r="J340" i="1"/>
  <c r="J316" i="1"/>
  <c r="E326" i="1"/>
  <c r="J324" i="1"/>
  <c r="J211" i="1"/>
  <c r="J142" i="1"/>
  <c r="E161" i="1"/>
  <c r="J150" i="1"/>
  <c r="J149" i="1"/>
  <c r="J92" i="1" s="1"/>
  <c r="F81" i="1" s="1"/>
  <c r="F83" i="1" s="1"/>
  <c r="F64" i="1" s="1"/>
  <c r="F66" i="1" s="1"/>
  <c r="J293" i="1"/>
  <c r="J330" i="1"/>
  <c r="J332" i="1" s="1"/>
  <c r="J322" i="1"/>
  <c r="J213" i="1"/>
  <c r="J284" i="1"/>
  <c r="J287" i="1" s="1"/>
  <c r="J31" i="3" l="1"/>
  <c r="J32" i="3" s="1"/>
  <c r="J336" i="1"/>
  <c r="E287" i="1"/>
  <c r="E288" i="1" s="1"/>
  <c r="J302" i="1"/>
  <c r="J315" i="1" s="1"/>
  <c r="J339" i="1"/>
  <c r="J288" i="1"/>
  <c r="J297" i="1" s="1"/>
  <c r="E299" i="1"/>
  <c r="E300" i="1" s="1"/>
  <c r="G222" i="1" s="1"/>
  <c r="G225" i="1" s="1"/>
  <c r="F225" i="1" s="1"/>
  <c r="F222" i="1" s="1"/>
  <c r="E279" i="1" s="1"/>
  <c r="F279" i="1" s="1"/>
  <c r="G279" i="1" s="1"/>
  <c r="H279" i="1" s="1"/>
  <c r="I279" i="1" s="1"/>
  <c r="J279" i="1" s="1"/>
  <c r="J295" i="1"/>
  <c r="E163" i="1"/>
  <c r="I57" i="1"/>
  <c r="E307" i="1"/>
  <c r="F307" i="1" s="1"/>
  <c r="G307" i="1" s="1"/>
  <c r="H307" i="1" s="1"/>
  <c r="I307" i="1" s="1"/>
  <c r="J307" i="1" s="1"/>
  <c r="G223" i="1"/>
  <c r="F229" i="1" s="1"/>
  <c r="F231" i="1" s="1"/>
  <c r="F233" i="1" s="1"/>
  <c r="J294" i="1"/>
  <c r="J248" i="1" s="1"/>
  <c r="J158" i="1"/>
  <c r="J144" i="1"/>
  <c r="I72" i="1" s="1"/>
  <c r="J35" i="3" l="1"/>
  <c r="J38" i="3" s="1"/>
  <c r="J39" i="3" s="1"/>
  <c r="K3" i="3" s="1"/>
  <c r="K5" i="3" s="1"/>
  <c r="J289" i="1"/>
  <c r="J337" i="1"/>
  <c r="E315" i="1"/>
  <c r="J317" i="1"/>
  <c r="F72" i="1"/>
  <c r="F74" i="1" s="1"/>
  <c r="G60" i="1"/>
  <c r="J341" i="1"/>
</calcChain>
</file>

<file path=xl/comments1.xml><?xml version="1.0" encoding="utf-8"?>
<comments xmlns="http://schemas.openxmlformats.org/spreadsheetml/2006/main">
  <authors>
    <author>Monica Lewinski</author>
  </authors>
  <commentList>
    <comment ref="A1" authorId="0" shapeId="0">
      <text>
        <r>
          <rPr>
            <b/>
            <sz val="9"/>
            <color indexed="81"/>
            <rFont val="Tahoma"/>
            <family val="2"/>
          </rPr>
          <t>Monica Lewinski:</t>
        </r>
        <r>
          <rPr>
            <sz val="9"/>
            <color indexed="81"/>
            <rFont val="Tahoma"/>
            <family val="2"/>
          </rPr>
          <t xml:space="preserve">
This demonstrates how to develop a cash flow waterfall for draw downs in the sources and uses of funds analysis.
The first part is very simple and the next parts introduce complications that create an unresolvable circular reference
The general approach is the same as with the cash flow waterfall in the cash flow statement which involves:
   - Setting up accont balances that show the remaining amount to draw
   - Using a lot of sub-total accounts
   - Usning the MIN Function
The second part adds capitalised interest and fees which make the problem much  more difficult.</t>
        </r>
      </text>
    </comment>
    <comment ref="A51" authorId="0" shapeId="0">
      <text>
        <r>
          <rPr>
            <b/>
            <sz val="9"/>
            <color indexed="81"/>
            <rFont val="Tahoma"/>
            <family val="2"/>
          </rPr>
          <t>Monica Lewinski:</t>
        </r>
        <r>
          <rPr>
            <sz val="9"/>
            <color indexed="81"/>
            <rFont val="Tahoma"/>
            <family val="2"/>
          </rPr>
          <t xml:space="preserve">
The general approach is to find one incremental tranche of funding.  If the total funding needs including capitalised interest and fees are known, and if there is only one tranche to compute, the alternative funding can be computed.</t>
        </r>
      </text>
    </comment>
    <comment ref="A217" authorId="0" shapeId="0">
      <text>
        <r>
          <rPr>
            <b/>
            <sz val="9"/>
            <color indexed="81"/>
            <rFont val="Tahoma"/>
            <family val="2"/>
          </rPr>
          <t>Monica Lewinski:</t>
        </r>
        <r>
          <rPr>
            <sz val="9"/>
            <color indexed="81"/>
            <rFont val="Tahoma"/>
            <family val="2"/>
          </rPr>
          <t xml:space="preserve">
The general approach is to find one incremental tranche of funding.  If the total funding needs including capitalised interest and fees are known, and if there is only one tranche to compute, the alternative funding can be computed.</t>
        </r>
      </text>
    </comment>
  </commentList>
</comments>
</file>

<file path=xl/sharedStrings.xml><?xml version="1.0" encoding="utf-8"?>
<sst xmlns="http://schemas.openxmlformats.org/spreadsheetml/2006/main" count="432" uniqueCount="179">
  <si>
    <t>Funding Assumptions</t>
  </si>
  <si>
    <t>Equity</t>
  </si>
  <si>
    <t>Sr Debt</t>
  </si>
  <si>
    <t xml:space="preserve">Sub Debt </t>
  </si>
  <si>
    <t>Total</t>
  </si>
  <si>
    <t>Funding Requirements</t>
  </si>
  <si>
    <t>Difference</t>
  </si>
  <si>
    <t>Funding Cascade</t>
  </si>
  <si>
    <t>Period</t>
  </si>
  <si>
    <t>End of Construction</t>
  </si>
  <si>
    <t>Construction Input - Financing Needs</t>
  </si>
  <si>
    <t>Accumulated</t>
  </si>
  <si>
    <t>Equity Commitment</t>
  </si>
  <si>
    <t>Equity Already Drawn</t>
  </si>
  <si>
    <t>Remaing Equity to Draw</t>
  </si>
  <si>
    <t>Opening Balance</t>
  </si>
  <si>
    <t>Add: Draws using MIN function</t>
  </si>
  <si>
    <t>Closing Balance</t>
  </si>
  <si>
    <t>Remaing Required Funding</t>
  </si>
  <si>
    <t>Sub Debt Commitment</t>
  </si>
  <si>
    <t>Sub Debt Drawn</t>
  </si>
  <si>
    <t>Remaing Sub Debt to Draw</t>
  </si>
  <si>
    <t>Remaining Funding for Senior</t>
  </si>
  <si>
    <t>Sr Debt Commitment</t>
  </si>
  <si>
    <t>Sr Debt Drawn</t>
  </si>
  <si>
    <t>Remaing Sr Debt to Draw</t>
  </si>
  <si>
    <t>Add: Draws</t>
  </si>
  <si>
    <t>With Capitalised Interest and Fees</t>
  </si>
  <si>
    <t>Increment</t>
  </si>
  <si>
    <t>Single</t>
  </si>
  <si>
    <t>Date</t>
  </si>
  <si>
    <t>Capatilise</t>
  </si>
  <si>
    <t>Fee</t>
  </si>
  <si>
    <t>Order</t>
  </si>
  <si>
    <t>Target</t>
  </si>
  <si>
    <t>Capitalise</t>
  </si>
  <si>
    <t>Max Ratio</t>
  </si>
  <si>
    <t>Funding</t>
  </si>
  <si>
    <t>of</t>
  </si>
  <si>
    <t>Interest</t>
  </si>
  <si>
    <t xml:space="preserve">Fee </t>
  </si>
  <si>
    <t xml:space="preserve">Base </t>
  </si>
  <si>
    <t>Input</t>
  </si>
  <si>
    <t>in Fund</t>
  </si>
  <si>
    <t>DSCR</t>
  </si>
  <si>
    <t>of Debt</t>
  </si>
  <si>
    <t>Annuity</t>
  </si>
  <si>
    <t>Tranche</t>
  </si>
  <si>
    <t>Portion</t>
  </si>
  <si>
    <t>Percent</t>
  </si>
  <si>
    <t>Cascade</t>
  </si>
  <si>
    <t>Senior</t>
  </si>
  <si>
    <t>Switch</t>
  </si>
  <si>
    <t>to Cap</t>
  </si>
  <si>
    <t>Rate</t>
  </si>
  <si>
    <t>Repay</t>
  </si>
  <si>
    <t>Sub Debt</t>
  </si>
  <si>
    <t>Senior Debt</t>
  </si>
  <si>
    <t>VAT Facility</t>
  </si>
  <si>
    <t>Max Iterations</t>
  </si>
  <si>
    <t>max_iter</t>
  </si>
  <si>
    <t>Total Funding Computed</t>
  </si>
  <si>
    <t>from</t>
  </si>
  <si>
    <t>funding_from</t>
  </si>
  <si>
    <t>Total Funding Input</t>
  </si>
  <si>
    <t>to</t>
  </si>
  <si>
    <t>funding_input</t>
  </si>
  <si>
    <t>difference</t>
  </si>
  <si>
    <t>funding_difference</t>
  </si>
  <si>
    <t>Sub Debt Computed (Balance)</t>
  </si>
  <si>
    <t>sub_debt_from</t>
  </si>
  <si>
    <t>Sub Debt Input</t>
  </si>
  <si>
    <t>sub_debt_to</t>
  </si>
  <si>
    <t>sub_debt_difference</t>
  </si>
  <si>
    <t>Senior Base Funding Computed</t>
  </si>
  <si>
    <t>senior_from</t>
  </si>
  <si>
    <t>Senior Base Fixed</t>
  </si>
  <si>
    <t>senior_to</t>
  </si>
  <si>
    <t>senior_difference</t>
  </si>
  <si>
    <t>Total Difference</t>
  </si>
  <si>
    <t>total_difference</t>
  </si>
  <si>
    <t xml:space="preserve"> </t>
  </si>
  <si>
    <t>Construction</t>
  </si>
  <si>
    <t>DSRA Pre-funding</t>
  </si>
  <si>
    <t>Interest Paid</t>
  </si>
  <si>
    <t>Fees Paid</t>
  </si>
  <si>
    <t>Construction Period</t>
  </si>
  <si>
    <t>Total Funding Requirement</t>
  </si>
  <si>
    <t>Add: Interest Paid</t>
  </si>
  <si>
    <t>Add: Fees Paid</t>
  </si>
  <si>
    <t>DSRA</t>
  </si>
  <si>
    <t>Total Cash Funding</t>
  </si>
  <si>
    <t>First Tranche</t>
  </si>
  <si>
    <t>Total Commitment Incl Cap Int</t>
  </si>
  <si>
    <t>Less: Total Capitalised Interest and Fees</t>
  </si>
  <si>
    <t>Sub-total to Use for Cash Funding</t>
  </si>
  <si>
    <t>Less: Amount Already Drawn</t>
  </si>
  <si>
    <t>Plus: Used for Fees and Cap Int</t>
  </si>
  <si>
    <t>Remaining Amount to Draw</t>
  </si>
  <si>
    <t>Add: Cap Int</t>
  </si>
  <si>
    <t>Add: Cap Fees</t>
  </si>
  <si>
    <t>Interest Rate</t>
  </si>
  <si>
    <t>Interest Accrued</t>
  </si>
  <si>
    <t>Interest Capitalised</t>
  </si>
  <si>
    <t>Fee Percent</t>
  </si>
  <si>
    <t>Total Balance</t>
  </si>
  <si>
    <t>Total Fees</t>
  </si>
  <si>
    <t>Fees Capitalised</t>
  </si>
  <si>
    <t>Accumulated Cap Int and Fee</t>
  </si>
  <si>
    <t>Total Cap Interest</t>
  </si>
  <si>
    <t>Total Cap Fees</t>
  </si>
  <si>
    <t>Remaing Cash Required Funding After First Tranche</t>
  </si>
  <si>
    <t>Second Tranche</t>
  </si>
  <si>
    <t>Total Commitment</t>
  </si>
  <si>
    <t>Less: Used for Cap Int and Fees</t>
  </si>
  <si>
    <t>Total for Draws</t>
  </si>
  <si>
    <t>Less: Amount Drawn (OB)</t>
  </si>
  <si>
    <t>Add: Funding Outflows</t>
  </si>
  <si>
    <t>Add: Captitalised Interest</t>
  </si>
  <si>
    <t>Add: Capitalised Fees</t>
  </si>
  <si>
    <t>Capitalised Interest</t>
  </si>
  <si>
    <t>Accumulated Cap Interest</t>
  </si>
  <si>
    <t>Base for Fees</t>
  </si>
  <si>
    <t>Capitalised Interst and Fees</t>
  </si>
  <si>
    <t>Accumulated Fees</t>
  </si>
  <si>
    <t>Total Interest Capitalsied</t>
  </si>
  <si>
    <t>Total Fees Capitalised</t>
  </si>
  <si>
    <t>Total Capitalised</t>
  </si>
  <si>
    <t>Remaining Cash Requirements after Second Tranche</t>
  </si>
  <si>
    <t>Third Tranche</t>
  </si>
  <si>
    <t>Int = OB x Rate</t>
  </si>
  <si>
    <t>OB = CB - Int - Draws - Fees</t>
  </si>
  <si>
    <t>Int = (CB - Int - Draws - Fees) x Rate</t>
  </si>
  <si>
    <t>Int + Int x Rate = (CB - Draws - Fees) x Rate</t>
  </si>
  <si>
    <t>Int x (1+Rate) = (CB - Draws - Fees) x Rate</t>
  </si>
  <si>
    <t>Int = (CB- Draws - Fees) x Rate/(1+Rate)</t>
  </si>
  <si>
    <t>Uses of Funds - Funding Requirements</t>
  </si>
  <si>
    <t>Interest During Construction</t>
  </si>
  <si>
    <t>Fees</t>
  </si>
  <si>
    <t>Pre-funding of DSRA</t>
  </si>
  <si>
    <t>Sources of Funds</t>
  </si>
  <si>
    <t>With Capitalised Interest Only</t>
  </si>
  <si>
    <t>mx_iter</t>
  </si>
  <si>
    <t>sr_from</t>
  </si>
  <si>
    <t>sr_to</t>
  </si>
  <si>
    <t>sr_diff</t>
  </si>
  <si>
    <t>tot_diff</t>
  </si>
  <si>
    <t>Capitalised Interest and Fees</t>
  </si>
  <si>
    <t>EBITDA</t>
  </si>
  <si>
    <t>Required Debt Service</t>
  </si>
  <si>
    <t>NPV</t>
  </si>
  <si>
    <t>Debt Balance</t>
  </si>
  <si>
    <t>Less: Repayments</t>
  </si>
  <si>
    <t>Interest Expense</t>
  </si>
  <si>
    <t>Int Rate</t>
  </si>
  <si>
    <t>Amount already Contributed (opening balance)</t>
  </si>
  <si>
    <t>Remaining Amount to Commit</t>
  </si>
  <si>
    <t>Amount Commited this Period</t>
  </si>
  <si>
    <t>Sub-Debt Commitment</t>
  </si>
  <si>
    <t>Amount Already Commited</t>
  </si>
  <si>
    <t>Interest on Sub Debt</t>
  </si>
  <si>
    <t>Sub-total - Financing Needs After Equity</t>
  </si>
  <si>
    <t>Funding Needs</t>
  </si>
  <si>
    <t>Construction Input</t>
  </si>
  <si>
    <t>Add: Interest on Sub-Debt</t>
  </si>
  <si>
    <t>Add: Interest on Sr-Debt</t>
  </si>
  <si>
    <t>Sub-total - Financing Needs after Sub-Debt</t>
  </si>
  <si>
    <t>Assumptions</t>
  </si>
  <si>
    <t>Begin with first funding source and compute the remaining balance</t>
  </si>
  <si>
    <t>Sources and Uses Summary</t>
  </si>
  <si>
    <t>Funding Analysis</t>
  </si>
  <si>
    <t>Compare the Debt Commitment to the Accumulated Opening Balance</t>
  </si>
  <si>
    <t>Difference is Remaining Commitment</t>
  </si>
  <si>
    <t>Use the Remaining Commitment for MIN Test</t>
  </si>
  <si>
    <t>Make Min Test</t>
  </si>
  <si>
    <t xml:space="preserve">Next, Work through the Second </t>
  </si>
  <si>
    <t>Amount Commited this Period - Opening Balance</t>
  </si>
  <si>
    <t>Amount Commited this Period with MIN</t>
  </si>
  <si>
    <t>Amount Commited this Period -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</si>
</sst>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color rgb="FF000000"/>
      <name val="Tahoma"/>
      <family val="2"/>
    </font>
    <font>
      <sz val="11"/>
      <color rgb="FF000000"/>
      <name val="Calibri"/>
      <family val="2"/>
    </font>
    <font>
      <u/>
      <sz val="11"/>
      <color theme="10"/>
      <name val="Calibri"/>
      <family val="2"/>
      <scheme val="minor"/>
    </font>
    <font>
      <sz val="11"/>
      <color rgb="FF002060"/>
      <name val="Calibri"/>
      <family val="2"/>
      <scheme val="minor"/>
    </font>
    <font>
      <sz val="11"/>
      <color rgb="FF0045D0"/>
      <name val="Calibri"/>
      <family val="2"/>
      <scheme val="minor"/>
    </font>
    <font>
      <sz val="11"/>
      <name val="Calibri"/>
      <family val="2"/>
      <scheme val="minor"/>
    </font>
    <font>
      <b/>
      <sz val="9"/>
      <color indexed="81"/>
      <name val="Tahoma"/>
      <family val="2"/>
    </font>
    <font>
      <sz val="9"/>
      <color indexed="81"/>
      <name val="Tahoma"/>
      <family val="2"/>
    </font>
    <font>
      <u/>
      <sz val="11"/>
      <name val="Calibri"/>
      <family val="2"/>
      <scheme val="minor"/>
    </font>
    <font>
      <sz val="11"/>
      <color rgb="FF0000FF"/>
      <name val="Calibri"/>
      <family val="2"/>
      <scheme val="minor"/>
    </font>
    <font>
      <b/>
      <sz val="11"/>
      <color rgb="FFFFFFFF"/>
      <name val="Calibri"/>
      <family val="2"/>
      <scheme val="minor"/>
    </font>
    <font>
      <b/>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FFFFCC"/>
        <bgColor indexed="64"/>
      </patternFill>
    </fill>
    <fill>
      <patternFill patternType="solid">
        <fgColor indexed="56"/>
        <bgColor indexed="56"/>
      </patternFill>
    </fill>
  </fills>
  <borders count="7">
    <border>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3" fillId="0" borderId="0" xfId="1"/>
    <xf numFmtId="0" fontId="0" fillId="0" borderId="1" xfId="0" applyBorder="1"/>
    <xf numFmtId="0" fontId="4" fillId="0" borderId="1" xfId="0" applyFont="1" applyBorder="1"/>
    <xf numFmtId="0" fontId="0" fillId="0" borderId="2" xfId="0" applyBorder="1"/>
    <xf numFmtId="0" fontId="0" fillId="0" borderId="3" xfId="0" applyBorder="1"/>
    <xf numFmtId="0" fontId="0" fillId="0" borderId="4" xfId="0" applyBorder="1"/>
    <xf numFmtId="0" fontId="0" fillId="2" borderId="0" xfId="0" applyFill="1"/>
    <xf numFmtId="0" fontId="0" fillId="0" borderId="0" xfId="0" applyAlignment="1">
      <alignment horizontal="center"/>
    </xf>
    <xf numFmtId="4" fontId="5" fillId="0" borderId="0" xfId="0" applyNumberFormat="1" applyFont="1"/>
    <xf numFmtId="4" fontId="0" fillId="0" borderId="0" xfId="0" applyNumberFormat="1"/>
    <xf numFmtId="9" fontId="0" fillId="0" borderId="0" xfId="0" applyNumberFormat="1"/>
    <xf numFmtId="4" fontId="0" fillId="0" borderId="5" xfId="0" applyNumberFormat="1" applyBorder="1"/>
    <xf numFmtId="4" fontId="5" fillId="0" borderId="0" xfId="0" applyNumberFormat="1" applyFont="1" applyFill="1"/>
    <xf numFmtId="4" fontId="6" fillId="0" borderId="5" xfId="0" applyNumberFormat="1" applyFont="1" applyFill="1" applyBorder="1"/>
    <xf numFmtId="4" fontId="6" fillId="0" borderId="0" xfId="0" applyNumberFormat="1" applyFont="1" applyFill="1" applyBorder="1"/>
    <xf numFmtId="4" fontId="0" fillId="3" borderId="0" xfId="0" applyNumberFormat="1" applyFill="1"/>
    <xf numFmtId="4" fontId="0" fillId="4" borderId="0" xfId="0" applyNumberFormat="1" applyFill="1"/>
    <xf numFmtId="4" fontId="0" fillId="0" borderId="0" xfId="0" applyNumberFormat="1" applyFill="1"/>
    <xf numFmtId="4" fontId="0" fillId="0" borderId="1" xfId="0" applyNumberFormat="1" applyBorder="1"/>
    <xf numFmtId="0" fontId="0" fillId="0" borderId="5" xfId="0" applyBorder="1"/>
    <xf numFmtId="4" fontId="0" fillId="0" borderId="3" xfId="0" applyNumberFormat="1" applyBorder="1"/>
    <xf numFmtId="4" fontId="0" fillId="0" borderId="4" xfId="0" applyNumberFormat="1" applyBorder="1"/>
    <xf numFmtId="0" fontId="0" fillId="0" borderId="6" xfId="0" applyBorder="1"/>
    <xf numFmtId="4" fontId="0" fillId="0" borderId="6" xfId="0" applyNumberFormat="1" applyBorder="1"/>
    <xf numFmtId="4" fontId="0" fillId="0" borderId="0" xfId="0" applyNumberFormat="1" applyBorder="1"/>
    <xf numFmtId="0" fontId="6" fillId="0" borderId="0" xfId="0" applyFont="1" applyFill="1" applyBorder="1"/>
    <xf numFmtId="0" fontId="6" fillId="0" borderId="0" xfId="0" applyFont="1" applyFill="1"/>
    <xf numFmtId="0" fontId="9" fillId="0" borderId="0" xfId="1" applyFont="1" applyFill="1"/>
    <xf numFmtId="0" fontId="6" fillId="0" borderId="0" xfId="0" applyFont="1" applyFill="1" applyAlignment="1">
      <alignment horizontal="center"/>
    </xf>
    <xf numFmtId="4" fontId="6" fillId="0" borderId="0" xfId="0" applyNumberFormat="1" applyFont="1" applyFill="1"/>
    <xf numFmtId="9" fontId="6" fillId="0" borderId="0" xfId="0" applyNumberFormat="1" applyFont="1" applyFill="1"/>
    <xf numFmtId="0" fontId="6" fillId="0" borderId="1" xfId="0" applyFont="1" applyFill="1" applyBorder="1"/>
    <xf numFmtId="4" fontId="6" fillId="0" borderId="1" xfId="0" applyNumberFormat="1" applyFont="1" applyFill="1" applyBorder="1"/>
    <xf numFmtId="0" fontId="6" fillId="0" borderId="6" xfId="0" applyFont="1" applyFill="1" applyBorder="1"/>
    <xf numFmtId="4" fontId="6" fillId="0" borderId="6" xfId="0" applyNumberFormat="1" applyFont="1" applyFill="1" applyBorder="1"/>
    <xf numFmtId="4" fontId="10" fillId="5" borderId="0" xfId="0" applyNumberFormat="1" applyFont="1" applyFill="1"/>
    <xf numFmtId="9" fontId="10" fillId="5" borderId="0" xfId="0" applyNumberFormat="1" applyFont="1" applyFill="1"/>
    <xf numFmtId="0" fontId="10" fillId="5" borderId="0" xfId="0" applyFont="1" applyFill="1"/>
    <xf numFmtId="4" fontId="10" fillId="5" borderId="0" xfId="0" applyNumberFormat="1" applyFont="1" applyFill="1" applyBorder="1"/>
    <xf numFmtId="0" fontId="11" fillId="6" borderId="0" xfId="0" applyFont="1" applyFill="1"/>
    <xf numFmtId="0" fontId="12" fillId="0" borderId="6" xfId="0" applyFont="1" applyFill="1" applyBorder="1"/>
    <xf numFmtId="4" fontId="12" fillId="0" borderId="6"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336550</xdr:colOff>
          <xdr:row>2</xdr:row>
          <xdr:rowOff>69850</xdr:rowOff>
        </xdr:from>
        <xdr:to>
          <xdr:col>11</xdr:col>
          <xdr:colOff>692150</xdr:colOff>
          <xdr:row>3</xdr:row>
          <xdr:rowOff>177800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Comment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527050</xdr:colOff>
          <xdr:row>55</xdr:row>
          <xdr:rowOff>44450</xdr:rowOff>
        </xdr:from>
        <xdr:to>
          <xdr:col>15</xdr:col>
          <xdr:colOff>25400</xdr:colOff>
          <xdr:row>56</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147</xdr:row>
          <xdr:rowOff>0</xdr:rowOff>
        </xdr:from>
        <xdr:to>
          <xdr:col>3</xdr:col>
          <xdr:colOff>1911350</xdr:colOff>
          <xdr:row>147</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565150</xdr:colOff>
          <xdr:row>55</xdr:row>
          <xdr:rowOff>38100</xdr:rowOff>
        </xdr:from>
        <xdr:to>
          <xdr:col>16</xdr:col>
          <xdr:colOff>63500</xdr:colOff>
          <xdr:row>56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154</xdr:row>
          <xdr:rowOff>44450</xdr:rowOff>
        </xdr:from>
        <xdr:to>
          <xdr:col>3</xdr:col>
          <xdr:colOff>1816100</xdr:colOff>
          <xdr:row>155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114</xdr:row>
          <xdr:rowOff>6350</xdr:rowOff>
        </xdr:from>
        <xdr:to>
          <xdr:col>3</xdr:col>
          <xdr:colOff>2044700</xdr:colOff>
          <xdr:row>114</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1873250</xdr:colOff>
          <xdr:row>120</xdr:row>
          <xdr:rowOff>25400</xdr:rowOff>
        </xdr:from>
        <xdr:to>
          <xdr:col>3</xdr:col>
          <xdr:colOff>2089150</xdr:colOff>
          <xdr:row>120</xdr:row>
          <xdr:rowOff>158750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184</xdr:row>
          <xdr:rowOff>6350</xdr:rowOff>
        </xdr:from>
        <xdr:to>
          <xdr:col>3</xdr:col>
          <xdr:colOff>2044700</xdr:colOff>
          <xdr:row>184</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1873250</xdr:colOff>
          <xdr:row>190</xdr:row>
          <xdr:rowOff>25400</xdr:rowOff>
        </xdr:from>
        <xdr:to>
          <xdr:col>3</xdr:col>
          <xdr:colOff>2089150</xdr:colOff>
          <xdr:row>190</xdr:row>
          <xdr:rowOff>158750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654050</xdr:colOff>
          <xdr:row>66</xdr:row>
          <xdr:rowOff>152400</xdr:rowOff>
        </xdr:from>
        <xdr:to>
          <xdr:col>10</xdr:col>
          <xdr:colOff>292100</xdr:colOff>
          <xdr:row>68</xdr:row>
          <xdr:rowOff>76200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fr-FR" sz="1100" b="0" i="0" u="none" strike="noStrike" baseline="0">
                  <a:solidFill>
                    <a:srgbClr val="000000"/>
                  </a:solidFill>
                  <a:latin typeface="Calibri"/>
                  <a:cs typeface="Calibri"/>
                </a:rPr>
                <a:t>Copy and Past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320</xdr:row>
          <xdr:rowOff>6350</xdr:rowOff>
        </xdr:from>
        <xdr:to>
          <xdr:col>3</xdr:col>
          <xdr:colOff>2044700</xdr:colOff>
          <xdr:row>320</xdr:row>
          <xdr:rowOff>152400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641350</xdr:colOff>
          <xdr:row>228</xdr:row>
          <xdr:rowOff>63500</xdr:rowOff>
        </xdr:from>
        <xdr:to>
          <xdr:col>11</xdr:col>
          <xdr:colOff>44450</xdr:colOff>
          <xdr:row>230</xdr:row>
          <xdr:rowOff>146050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fr-FR" sz="1100" b="0" i="0" u="none" strike="noStrike" baseline="0">
                  <a:solidFill>
                    <a:srgbClr val="000000"/>
                  </a:solidFill>
                  <a:latin typeface="Calibri"/>
                  <a:cs typeface="Calibri"/>
                </a:rPr>
                <a:t>Button 621</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bruiker/Course%20Materials/Chapter%201.%20Models%20and%20Analysis/2.%20Project%20Finance%20Models%20and%20Exercises/Project%20Finance%20Concep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ual Model"/>
      <sheetName val="Master Scenario"/>
      <sheetName val="Debt Service Chart"/>
      <sheetName val="Model Verification"/>
      <sheetName val="Chart1"/>
      <sheetName val="Annual Renewable Model"/>
      <sheetName val="Renewable Scenario"/>
      <sheetName val="Simple Periodic Model"/>
      <sheetName val="DS Chart"/>
      <sheetName val="Debt Chart"/>
      <sheetName val="Periodic Model without Tax"/>
      <sheetName val="Detailed Periodic Model"/>
      <sheetName val="Circularity Sources"/>
      <sheetName val="Funding Circularity"/>
      <sheetName val="Funding Cascade"/>
      <sheetName val="DSRA and Circularity"/>
      <sheetName val="Sub Debt Circularity"/>
      <sheetName val="Sculpting Formulas"/>
      <sheetName val="Simple NOL"/>
      <sheetName val="NOL with Portfolio"/>
      <sheetName val="Refinancing"/>
      <sheetName val="Capitalised Interest"/>
      <sheetName val="Depreciation Expense"/>
      <sheetName val="Summary for Detailed Model"/>
      <sheetName val="Annual Summary"/>
      <sheetName val="Periodic Model Verification"/>
      <sheetName val="Dates for Periodic Model"/>
      <sheetName val="Monte Carlo"/>
      <sheetName val="Real Estate Portfolio"/>
      <sheetName val="MRA"/>
      <sheetName val="Circular Reference"/>
      <sheetName val="Data Tables with Marcos"/>
      <sheetName val="Data Table with Macro"/>
      <sheetName val="IRR"/>
      <sheetName val="Sumproduct"/>
      <sheetName val="Flex Graph with Offset"/>
      <sheetName val="Southport Case"/>
      <sheetName val="Project Finance Concepts"/>
    </sheetNames>
    <sheetDataSet>
      <sheetData sheetId="0"/>
      <sheetData sheetId="1"/>
      <sheetData sheetId="2"/>
      <sheetData sheetId="3" refreshError="1"/>
      <sheetData sheetId="4"/>
      <sheetData sheetId="5" refreshError="1"/>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N2" t="b">
            <v>0</v>
          </cell>
        </row>
      </sheetData>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3"/>
  <sheetViews>
    <sheetView showGridLines="0" tabSelected="1" workbookViewId="0">
      <selection activeCell="H10" sqref="H10"/>
    </sheetView>
  </sheetViews>
  <sheetFormatPr defaultRowHeight="14.5" x14ac:dyDescent="0.35"/>
  <sheetData>
    <row r="3" spans="2:2" x14ac:dyDescent="0.35">
      <c r="B3" t="s">
        <v>168</v>
      </c>
    </row>
    <row r="5" spans="2:2" x14ac:dyDescent="0.35">
      <c r="B5" t="s">
        <v>171</v>
      </c>
    </row>
    <row r="7" spans="2:2" x14ac:dyDescent="0.35">
      <c r="B7" t="s">
        <v>172</v>
      </c>
    </row>
    <row r="9" spans="2:2" x14ac:dyDescent="0.35">
      <c r="B9" t="s">
        <v>173</v>
      </c>
    </row>
    <row r="11" spans="2:2" x14ac:dyDescent="0.35">
      <c r="B11" t="s">
        <v>174</v>
      </c>
    </row>
    <row r="13" spans="2:2" x14ac:dyDescent="0.35">
      <c r="B13"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41"/>
  <sheetViews>
    <sheetView zoomScale="80" zoomScaleNormal="80" workbookViewId="0">
      <selection activeCell="C1" sqref="C1"/>
    </sheetView>
  </sheetViews>
  <sheetFormatPr defaultRowHeight="14.5" x14ac:dyDescent="0.35"/>
  <cols>
    <col min="1" max="3" width="1.54296875" style="27" customWidth="1"/>
    <col min="4" max="4" width="37.54296875" style="27" customWidth="1"/>
    <col min="5" max="16384" width="8.7265625" style="27"/>
  </cols>
  <sheetData>
    <row r="1" spans="1:11" s="40" customFormat="1" x14ac:dyDescent="0.35">
      <c r="A1" s="40" t="s">
        <v>169</v>
      </c>
    </row>
    <row r="3" spans="1:11" x14ac:dyDescent="0.35">
      <c r="A3" s="28"/>
      <c r="B3" s="27" t="s">
        <v>0</v>
      </c>
      <c r="F3" s="29" t="s">
        <v>154</v>
      </c>
    </row>
    <row r="4" spans="1:11" x14ac:dyDescent="0.35">
      <c r="C4" s="27" t="s">
        <v>1</v>
      </c>
      <c r="E4" s="36">
        <v>165.80374753451667</v>
      </c>
      <c r="K4" s="30"/>
    </row>
    <row r="5" spans="1:11" x14ac:dyDescent="0.35">
      <c r="C5" s="27" t="s">
        <v>57</v>
      </c>
      <c r="E5" s="36">
        <v>500</v>
      </c>
      <c r="F5" s="37">
        <v>0.04</v>
      </c>
    </row>
    <row r="6" spans="1:11" x14ac:dyDescent="0.35">
      <c r="C6" s="27" t="s">
        <v>3</v>
      </c>
      <c r="E6" s="36">
        <v>100</v>
      </c>
      <c r="F6" s="37">
        <v>0.08</v>
      </c>
      <c r="K6" s="30"/>
    </row>
    <row r="7" spans="1:11" ht="15" thickBot="1" x14ac:dyDescent="0.4">
      <c r="D7" s="32" t="s">
        <v>4</v>
      </c>
      <c r="E7" s="33">
        <f>SUM(E4:E6)</f>
        <v>765.80374753451667</v>
      </c>
    </row>
    <row r="8" spans="1:11" ht="15" thickTop="1" x14ac:dyDescent="0.35"/>
    <row r="9" spans="1:11" s="40" customFormat="1" x14ac:dyDescent="0.35">
      <c r="A9" s="40" t="s">
        <v>170</v>
      </c>
    </row>
    <row r="10" spans="1:11" x14ac:dyDescent="0.35">
      <c r="C10" s="27" t="s">
        <v>8</v>
      </c>
      <c r="F10" s="27">
        <f>G10-1</f>
        <v>-4</v>
      </c>
      <c r="G10" s="27">
        <f>H10-1</f>
        <v>-3</v>
      </c>
      <c r="H10" s="27">
        <f>I10-1</f>
        <v>-2</v>
      </c>
      <c r="I10" s="27">
        <f>J10-1</f>
        <v>-1</v>
      </c>
      <c r="J10" s="38">
        <v>0</v>
      </c>
    </row>
    <row r="11" spans="1:11" x14ac:dyDescent="0.35">
      <c r="C11" s="27" t="s">
        <v>162</v>
      </c>
    </row>
    <row r="12" spans="1:11" x14ac:dyDescent="0.35">
      <c r="C12" s="26" t="s">
        <v>163</v>
      </c>
      <c r="D12" s="26"/>
      <c r="E12" s="15">
        <f>SUM(F12:J12)</f>
        <v>720</v>
      </c>
      <c r="F12" s="39">
        <v>65</v>
      </c>
      <c r="G12" s="39">
        <v>185</v>
      </c>
      <c r="H12" s="39">
        <v>180</v>
      </c>
      <c r="I12" s="39">
        <v>220</v>
      </c>
      <c r="J12" s="39">
        <v>70</v>
      </c>
    </row>
    <row r="13" spans="1:11" x14ac:dyDescent="0.35">
      <c r="C13" s="26" t="s">
        <v>164</v>
      </c>
      <c r="F13" s="30"/>
      <c r="G13" s="30"/>
      <c r="H13" s="30"/>
      <c r="I13" s="30"/>
      <c r="J13" s="30"/>
    </row>
    <row r="14" spans="1:11" x14ac:dyDescent="0.35">
      <c r="C14" s="26" t="s">
        <v>165</v>
      </c>
      <c r="F14" s="30"/>
      <c r="G14" s="30"/>
      <c r="H14" s="30"/>
      <c r="I14" s="30"/>
      <c r="J14" s="30"/>
    </row>
    <row r="15" spans="1:11" x14ac:dyDescent="0.35">
      <c r="C15" s="26" t="s">
        <v>10</v>
      </c>
      <c r="D15" s="26"/>
      <c r="E15" s="15"/>
      <c r="F15" s="15"/>
      <c r="G15" s="15"/>
      <c r="H15" s="15"/>
      <c r="I15" s="15"/>
      <c r="J15" s="15"/>
    </row>
    <row r="16" spans="1:11" x14ac:dyDescent="0.35">
      <c r="E16" s="30"/>
      <c r="F16" s="30"/>
      <c r="G16" s="30"/>
      <c r="H16" s="30"/>
      <c r="I16" s="30"/>
      <c r="J16" s="30"/>
    </row>
    <row r="17" spans="3:10" x14ac:dyDescent="0.35">
      <c r="C17" s="27" t="s">
        <v>12</v>
      </c>
      <c r="E17" s="30"/>
      <c r="F17" s="30"/>
      <c r="G17" s="30"/>
      <c r="H17" s="30"/>
      <c r="I17" s="30"/>
      <c r="J17" s="30"/>
    </row>
    <row r="18" spans="3:10" x14ac:dyDescent="0.35">
      <c r="C18" s="27" t="s">
        <v>155</v>
      </c>
      <c r="F18" s="30"/>
      <c r="G18" s="30"/>
      <c r="H18" s="30"/>
      <c r="I18" s="30"/>
      <c r="J18" s="30"/>
    </row>
    <row r="19" spans="3:10" x14ac:dyDescent="0.35">
      <c r="C19" s="27" t="s">
        <v>156</v>
      </c>
      <c r="F19" s="30"/>
      <c r="G19" s="30"/>
      <c r="H19" s="30"/>
      <c r="I19" s="30"/>
      <c r="J19" s="30"/>
    </row>
    <row r="20" spans="3:10" x14ac:dyDescent="0.35">
      <c r="F20" s="30"/>
      <c r="G20" s="30"/>
      <c r="H20" s="30"/>
      <c r="I20" s="30"/>
      <c r="J20" s="30"/>
    </row>
    <row r="21" spans="3:10" x14ac:dyDescent="0.35">
      <c r="C21" s="27" t="s">
        <v>15</v>
      </c>
      <c r="F21" s="30"/>
      <c r="G21" s="30"/>
      <c r="H21" s="30"/>
      <c r="I21" s="30"/>
      <c r="J21" s="30"/>
    </row>
    <row r="22" spans="3:10" ht="15" thickBot="1" x14ac:dyDescent="0.4">
      <c r="C22" s="34" t="s">
        <v>178</v>
      </c>
      <c r="D22" s="34"/>
      <c r="E22" s="34"/>
      <c r="F22" s="35"/>
      <c r="G22" s="35"/>
      <c r="H22" s="35"/>
      <c r="I22" s="35"/>
      <c r="J22" s="35"/>
    </row>
    <row r="23" spans="3:10" x14ac:dyDescent="0.35">
      <c r="C23" s="27" t="s">
        <v>17</v>
      </c>
      <c r="F23" s="30"/>
      <c r="G23" s="30"/>
      <c r="H23" s="30"/>
      <c r="I23" s="30"/>
      <c r="J23" s="30"/>
    </row>
    <row r="24" spans="3:10" x14ac:dyDescent="0.35">
      <c r="F24" s="30"/>
      <c r="G24" s="30"/>
      <c r="H24" s="30"/>
      <c r="I24" s="30"/>
      <c r="J24" s="30"/>
    </row>
    <row r="25" spans="3:10" x14ac:dyDescent="0.35">
      <c r="C25" s="27" t="s">
        <v>161</v>
      </c>
      <c r="F25" s="30"/>
      <c r="G25" s="30"/>
      <c r="H25" s="30"/>
      <c r="I25" s="30"/>
      <c r="J25" s="30"/>
    </row>
    <row r="26" spans="3:10" x14ac:dyDescent="0.35">
      <c r="F26" s="30"/>
      <c r="G26" s="30"/>
      <c r="H26" s="30"/>
      <c r="I26" s="30"/>
      <c r="J26" s="30"/>
    </row>
    <row r="27" spans="3:10" x14ac:dyDescent="0.35">
      <c r="C27" s="27" t="s">
        <v>158</v>
      </c>
      <c r="F27" s="30"/>
      <c r="G27" s="30"/>
      <c r="H27" s="30"/>
      <c r="I27" s="30"/>
      <c r="J27" s="30"/>
    </row>
    <row r="28" spans="3:10" x14ac:dyDescent="0.35">
      <c r="C28" s="27" t="s">
        <v>159</v>
      </c>
      <c r="F28" s="30"/>
      <c r="G28" s="30"/>
      <c r="H28" s="30"/>
      <c r="I28" s="30"/>
      <c r="J28" s="30"/>
    </row>
    <row r="29" spans="3:10" x14ac:dyDescent="0.35">
      <c r="C29" s="27" t="s">
        <v>156</v>
      </c>
      <c r="F29" s="30"/>
      <c r="G29" s="30"/>
      <c r="H29" s="30"/>
      <c r="I29" s="30"/>
      <c r="J29" s="30"/>
    </row>
    <row r="30" spans="3:10" x14ac:dyDescent="0.35">
      <c r="F30" s="30"/>
      <c r="G30" s="30"/>
      <c r="H30" s="30"/>
      <c r="I30" s="30"/>
      <c r="J30" s="30"/>
    </row>
    <row r="31" spans="3:10" x14ac:dyDescent="0.35">
      <c r="C31" s="27" t="s">
        <v>15</v>
      </c>
      <c r="F31" s="30"/>
      <c r="G31" s="30"/>
      <c r="H31" s="30"/>
      <c r="I31" s="30"/>
      <c r="J31" s="30"/>
    </row>
    <row r="32" spans="3:10" ht="15" thickBot="1" x14ac:dyDescent="0.4">
      <c r="C32" s="34" t="s">
        <v>178</v>
      </c>
      <c r="D32" s="34"/>
      <c r="E32" s="34"/>
      <c r="F32" s="35"/>
      <c r="G32" s="35"/>
      <c r="H32" s="35"/>
      <c r="I32" s="35"/>
      <c r="J32" s="35"/>
    </row>
    <row r="33" spans="3:10" x14ac:dyDescent="0.35">
      <c r="C33" s="27" t="s">
        <v>17</v>
      </c>
      <c r="F33" s="30"/>
      <c r="G33" s="30"/>
      <c r="H33" s="30"/>
      <c r="I33" s="30"/>
      <c r="J33" s="30"/>
    </row>
    <row r="34" spans="3:10" x14ac:dyDescent="0.35">
      <c r="C34" s="27" t="s">
        <v>160</v>
      </c>
      <c r="E34" s="31"/>
      <c r="F34" s="30"/>
      <c r="G34" s="30"/>
      <c r="H34" s="30"/>
      <c r="I34" s="30"/>
      <c r="J34" s="30"/>
    </row>
    <row r="36" spans="3:10" x14ac:dyDescent="0.35">
      <c r="C36" s="27" t="s">
        <v>166</v>
      </c>
      <c r="F36" s="30"/>
      <c r="G36" s="30"/>
      <c r="H36" s="30"/>
      <c r="I36" s="30"/>
      <c r="J36" s="30"/>
    </row>
    <row r="38" spans="3:10" x14ac:dyDescent="0.35">
      <c r="C38" s="27" t="s">
        <v>15</v>
      </c>
      <c r="F38" s="30"/>
      <c r="G38" s="30"/>
      <c r="H38" s="30"/>
      <c r="I38" s="30"/>
      <c r="J38" s="30"/>
    </row>
    <row r="39" spans="3:10" ht="15" thickBot="1" x14ac:dyDescent="0.4">
      <c r="C39" s="34" t="s">
        <v>157</v>
      </c>
      <c r="D39" s="34"/>
      <c r="E39" s="34"/>
      <c r="F39" s="35"/>
      <c r="G39" s="35"/>
      <c r="H39" s="35"/>
      <c r="I39" s="35"/>
      <c r="J39" s="35"/>
    </row>
    <row r="40" spans="3:10" x14ac:dyDescent="0.35">
      <c r="C40" s="27" t="s">
        <v>17</v>
      </c>
      <c r="F40" s="30"/>
      <c r="G40" s="30"/>
      <c r="H40" s="30"/>
      <c r="I40" s="30"/>
      <c r="J40" s="30"/>
    </row>
    <row r="41" spans="3:10" x14ac:dyDescent="0.35">
      <c r="C41" s="27" t="s">
        <v>160</v>
      </c>
      <c r="E41" s="31"/>
      <c r="F41" s="30"/>
      <c r="G41" s="30"/>
      <c r="H41" s="30"/>
      <c r="I41" s="30"/>
      <c r="J41" s="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0" zoomScaleNormal="80" workbookViewId="0">
      <selection activeCell="C25" sqref="C25"/>
    </sheetView>
  </sheetViews>
  <sheetFormatPr defaultColWidth="8.90625" defaultRowHeight="14.5" x14ac:dyDescent="0.35"/>
  <cols>
    <col min="1" max="3" width="1.54296875" style="27" customWidth="1"/>
    <col min="4" max="4" width="41.90625" style="27" customWidth="1"/>
    <col min="5" max="16384" width="8.90625" style="27"/>
  </cols>
  <sheetData>
    <row r="1" spans="1:11" s="40" customFormat="1" x14ac:dyDescent="0.35">
      <c r="A1" s="40" t="s">
        <v>167</v>
      </c>
    </row>
    <row r="2" spans="1:11" x14ac:dyDescent="0.35">
      <c r="A2" s="28"/>
      <c r="B2" s="27" t="s">
        <v>0</v>
      </c>
      <c r="F2" s="29" t="s">
        <v>154</v>
      </c>
    </row>
    <row r="3" spans="1:11" x14ac:dyDescent="0.35">
      <c r="C3" s="27" t="s">
        <v>1</v>
      </c>
      <c r="E3" s="36">
        <v>165.80374753451667</v>
      </c>
      <c r="I3" s="27" t="s">
        <v>17</v>
      </c>
      <c r="K3" s="30">
        <f>J39</f>
        <v>500.00000000000006</v>
      </c>
    </row>
    <row r="4" spans="1:11" x14ac:dyDescent="0.35">
      <c r="C4" s="27" t="s">
        <v>57</v>
      </c>
      <c r="E4" s="36">
        <v>500</v>
      </c>
      <c r="F4" s="37">
        <v>0.04</v>
      </c>
      <c r="I4" s="27" t="s">
        <v>42</v>
      </c>
      <c r="K4" s="27">
        <f>E4</f>
        <v>500</v>
      </c>
    </row>
    <row r="5" spans="1:11" x14ac:dyDescent="0.35">
      <c r="C5" s="27" t="s">
        <v>3</v>
      </c>
      <c r="E5" s="36">
        <v>100</v>
      </c>
      <c r="F5" s="37">
        <v>0.08</v>
      </c>
      <c r="I5" s="27" t="s">
        <v>6</v>
      </c>
      <c r="K5" s="30">
        <f>K3-K4</f>
        <v>0</v>
      </c>
    </row>
    <row r="6" spans="1:11" ht="15" thickBot="1" x14ac:dyDescent="0.4">
      <c r="D6" s="32" t="s">
        <v>4</v>
      </c>
      <c r="E6" s="33">
        <f>SUM(E3:E5)</f>
        <v>765.80374753451667</v>
      </c>
    </row>
    <row r="7" spans="1:11" ht="15" thickTop="1" x14ac:dyDescent="0.35"/>
    <row r="8" spans="1:11" s="40" customFormat="1" x14ac:dyDescent="0.35">
      <c r="A8" s="40" t="s">
        <v>37</v>
      </c>
    </row>
    <row r="9" spans="1:11" x14ac:dyDescent="0.35">
      <c r="C9" s="27" t="s">
        <v>8</v>
      </c>
      <c r="F9" s="27">
        <f>G9-1</f>
        <v>-4</v>
      </c>
      <c r="G9" s="27">
        <f>H9-1</f>
        <v>-3</v>
      </c>
      <c r="H9" s="27">
        <f>I9-1</f>
        <v>-2</v>
      </c>
      <c r="I9" s="27">
        <f>J9-1</f>
        <v>-1</v>
      </c>
      <c r="J9" s="38">
        <v>0</v>
      </c>
    </row>
    <row r="10" spans="1:11" x14ac:dyDescent="0.35">
      <c r="C10" s="27" t="s">
        <v>162</v>
      </c>
    </row>
    <row r="11" spans="1:11" x14ac:dyDescent="0.35">
      <c r="C11" s="26" t="s">
        <v>163</v>
      </c>
      <c r="D11" s="26"/>
      <c r="E11" s="15">
        <f>SUM(F11:J11)</f>
        <v>720</v>
      </c>
      <c r="F11" s="39">
        <v>65</v>
      </c>
      <c r="G11" s="39">
        <v>185</v>
      </c>
      <c r="H11" s="39">
        <v>180</v>
      </c>
      <c r="I11" s="39">
        <v>220</v>
      </c>
      <c r="J11" s="39">
        <v>70</v>
      </c>
    </row>
    <row r="12" spans="1:11" x14ac:dyDescent="0.35">
      <c r="C12" s="26" t="s">
        <v>164</v>
      </c>
      <c r="F12" s="30">
        <f>F33</f>
        <v>0</v>
      </c>
      <c r="G12" s="30">
        <f t="shared" ref="G12:J12" si="0">G33</f>
        <v>0</v>
      </c>
      <c r="H12" s="30">
        <f t="shared" si="0"/>
        <v>6.7357001972386659</v>
      </c>
      <c r="I12" s="30">
        <f t="shared" si="0"/>
        <v>8</v>
      </c>
      <c r="J12" s="30">
        <f t="shared" si="0"/>
        <v>8</v>
      </c>
    </row>
    <row r="13" spans="1:11" x14ac:dyDescent="0.35">
      <c r="C13" s="26" t="s">
        <v>165</v>
      </c>
      <c r="F13" s="30">
        <f>F40</f>
        <v>0</v>
      </c>
      <c r="G13" s="30">
        <f t="shared" ref="G13:J13" si="1">G40</f>
        <v>0</v>
      </c>
      <c r="H13" s="30">
        <f t="shared" si="1"/>
        <v>0</v>
      </c>
      <c r="I13" s="30">
        <f t="shared" si="1"/>
        <v>6.8372781065088795</v>
      </c>
      <c r="J13" s="30">
        <f t="shared" si="1"/>
        <v>16.230769230769234</v>
      </c>
    </row>
    <row r="14" spans="1:11" ht="15" thickBot="1" x14ac:dyDescent="0.4">
      <c r="C14" s="34" t="s">
        <v>10</v>
      </c>
      <c r="D14" s="34"/>
      <c r="E14" s="35">
        <f>SUM(F14:J14)</f>
        <v>765.80374753451679</v>
      </c>
      <c r="F14" s="35">
        <f>SUM(F11:F13)</f>
        <v>65</v>
      </c>
      <c r="G14" s="35">
        <f t="shared" ref="G14:J14" si="2">SUM(G11:G13)</f>
        <v>185</v>
      </c>
      <c r="H14" s="35">
        <f t="shared" si="2"/>
        <v>186.73570019723866</v>
      </c>
      <c r="I14" s="35">
        <f t="shared" si="2"/>
        <v>234.83727810650888</v>
      </c>
      <c r="J14" s="35">
        <f t="shared" si="2"/>
        <v>94.230769230769226</v>
      </c>
    </row>
    <row r="15" spans="1:11" x14ac:dyDescent="0.35">
      <c r="E15" s="30"/>
      <c r="F15" s="30"/>
      <c r="G15" s="30"/>
      <c r="H15" s="30"/>
      <c r="I15" s="30"/>
      <c r="J15" s="30"/>
    </row>
    <row r="16" spans="1:11" x14ac:dyDescent="0.35">
      <c r="C16" s="27" t="s">
        <v>12</v>
      </c>
      <c r="E16" s="30">
        <f>E3</f>
        <v>165.80374753451667</v>
      </c>
      <c r="F16" s="30">
        <f>$E$16</f>
        <v>165.80374753451667</v>
      </c>
      <c r="G16" s="30">
        <f t="shared" ref="G16:J16" si="3">$E$16</f>
        <v>165.80374753451667</v>
      </c>
      <c r="H16" s="30">
        <f t="shared" si="3"/>
        <v>165.80374753451667</v>
      </c>
      <c r="I16" s="30">
        <f t="shared" si="3"/>
        <v>165.80374753451667</v>
      </c>
      <c r="J16" s="30">
        <f t="shared" si="3"/>
        <v>165.80374753451667</v>
      </c>
    </row>
    <row r="17" spans="3:10" x14ac:dyDescent="0.35">
      <c r="C17" s="27" t="s">
        <v>155</v>
      </c>
      <c r="F17" s="30">
        <f>F20</f>
        <v>0</v>
      </c>
      <c r="G17" s="30">
        <f t="shared" ref="G17:J17" si="4">G20</f>
        <v>65</v>
      </c>
      <c r="H17" s="30">
        <f t="shared" si="4"/>
        <v>165.80374753451667</v>
      </c>
      <c r="I17" s="30">
        <f t="shared" si="4"/>
        <v>165.80374753451667</v>
      </c>
      <c r="J17" s="30">
        <f t="shared" si="4"/>
        <v>165.80374753451667</v>
      </c>
    </row>
    <row r="18" spans="3:10" x14ac:dyDescent="0.35">
      <c r="C18" s="27" t="s">
        <v>156</v>
      </c>
      <c r="F18" s="30">
        <f>F16-F17</f>
        <v>165.80374753451667</v>
      </c>
      <c r="G18" s="30">
        <f t="shared" ref="G18:J18" si="5">G16-G17</f>
        <v>100.80374753451667</v>
      </c>
      <c r="H18" s="30">
        <f t="shared" si="5"/>
        <v>0</v>
      </c>
      <c r="I18" s="30">
        <f t="shared" si="5"/>
        <v>0</v>
      </c>
      <c r="J18" s="30">
        <f t="shared" si="5"/>
        <v>0</v>
      </c>
    </row>
    <row r="19" spans="3:10" x14ac:dyDescent="0.35">
      <c r="F19" s="30"/>
      <c r="G19" s="30"/>
      <c r="H19" s="30"/>
      <c r="I19" s="30"/>
      <c r="J19" s="30"/>
    </row>
    <row r="20" spans="3:10" x14ac:dyDescent="0.35">
      <c r="C20" s="27" t="s">
        <v>15</v>
      </c>
      <c r="F20" s="30">
        <f>E22</f>
        <v>0</v>
      </c>
      <c r="G20" s="30">
        <f t="shared" ref="G20:J20" si="6">F22</f>
        <v>65</v>
      </c>
      <c r="H20" s="30">
        <f t="shared" si="6"/>
        <v>165.80374753451667</v>
      </c>
      <c r="I20" s="30">
        <f t="shared" si="6"/>
        <v>165.80374753451667</v>
      </c>
      <c r="J20" s="30">
        <f t="shared" si="6"/>
        <v>165.80374753451667</v>
      </c>
    </row>
    <row r="21" spans="3:10" ht="15" thickBot="1" x14ac:dyDescent="0.4">
      <c r="C21" s="34" t="s">
        <v>177</v>
      </c>
      <c r="D21" s="34"/>
      <c r="E21" s="34"/>
      <c r="F21" s="35">
        <f>MIN(F18,F14)</f>
        <v>65</v>
      </c>
      <c r="G21" s="35">
        <f t="shared" ref="G21:J21" si="7">MIN(G18,G14)</f>
        <v>100.80374753451667</v>
      </c>
      <c r="H21" s="35">
        <f t="shared" si="7"/>
        <v>0</v>
      </c>
      <c r="I21" s="35">
        <f t="shared" si="7"/>
        <v>0</v>
      </c>
      <c r="J21" s="35">
        <f t="shared" si="7"/>
        <v>0</v>
      </c>
    </row>
    <row r="22" spans="3:10" x14ac:dyDescent="0.35">
      <c r="C22" s="27" t="s">
        <v>17</v>
      </c>
      <c r="F22" s="30">
        <f>SUM(F20:F21)</f>
        <v>65</v>
      </c>
      <c r="G22" s="30">
        <f t="shared" ref="G22:J22" si="8">SUM(G20:G21)</f>
        <v>165.80374753451667</v>
      </c>
      <c r="H22" s="30">
        <f t="shared" si="8"/>
        <v>165.80374753451667</v>
      </c>
      <c r="I22" s="30">
        <f t="shared" si="8"/>
        <v>165.80374753451667</v>
      </c>
      <c r="J22" s="30">
        <f t="shared" si="8"/>
        <v>165.80374753451667</v>
      </c>
    </row>
    <row r="23" spans="3:10" x14ac:dyDescent="0.35">
      <c r="F23" s="30"/>
      <c r="G23" s="30"/>
      <c r="H23" s="30"/>
      <c r="I23" s="30"/>
      <c r="J23" s="30"/>
    </row>
    <row r="24" spans="3:10" ht="15" thickBot="1" x14ac:dyDescent="0.4">
      <c r="C24" s="41" t="s">
        <v>161</v>
      </c>
      <c r="D24" s="41"/>
      <c r="E24" s="41"/>
      <c r="F24" s="42">
        <f>F14-F21</f>
        <v>0</v>
      </c>
      <c r="G24" s="42">
        <f t="shared" ref="G24:J24" si="9">G14-G21</f>
        <v>84.196252465483326</v>
      </c>
      <c r="H24" s="42">
        <f t="shared" si="9"/>
        <v>186.73570019723866</v>
      </c>
      <c r="I24" s="42">
        <f t="shared" si="9"/>
        <v>234.83727810650888</v>
      </c>
      <c r="J24" s="42">
        <f t="shared" si="9"/>
        <v>94.230769230769226</v>
      </c>
    </row>
    <row r="25" spans="3:10" x14ac:dyDescent="0.35">
      <c r="F25" s="30"/>
      <c r="G25" s="30"/>
      <c r="H25" s="30"/>
      <c r="I25" s="30"/>
      <c r="J25" s="30"/>
    </row>
    <row r="26" spans="3:10" x14ac:dyDescent="0.35">
      <c r="C26" s="27" t="s">
        <v>158</v>
      </c>
      <c r="E26" s="30">
        <f>E5</f>
        <v>100</v>
      </c>
      <c r="F26" s="30">
        <f>$E$26</f>
        <v>100</v>
      </c>
      <c r="G26" s="30">
        <f t="shared" ref="G26:J26" si="10">$E$26</f>
        <v>100</v>
      </c>
      <c r="H26" s="30">
        <f t="shared" si="10"/>
        <v>100</v>
      </c>
      <c r="I26" s="30">
        <f t="shared" si="10"/>
        <v>100</v>
      </c>
      <c r="J26" s="30">
        <f t="shared" si="10"/>
        <v>100</v>
      </c>
    </row>
    <row r="27" spans="3:10" x14ac:dyDescent="0.35">
      <c r="C27" s="27" t="s">
        <v>159</v>
      </c>
      <c r="F27" s="30">
        <f>F30</f>
        <v>0</v>
      </c>
      <c r="G27" s="30">
        <f t="shared" ref="G27:J27" si="11">G30</f>
        <v>0</v>
      </c>
      <c r="H27" s="30">
        <f t="shared" si="11"/>
        <v>84.196252465483326</v>
      </c>
      <c r="I27" s="30">
        <f t="shared" si="11"/>
        <v>100</v>
      </c>
      <c r="J27" s="30">
        <f t="shared" si="11"/>
        <v>100</v>
      </c>
    </row>
    <row r="28" spans="3:10" x14ac:dyDescent="0.35">
      <c r="C28" s="27" t="s">
        <v>156</v>
      </c>
      <c r="F28" s="30">
        <f>F26-F27</f>
        <v>100</v>
      </c>
      <c r="G28" s="30">
        <f t="shared" ref="G28:J28" si="12">G26-G27</f>
        <v>100</v>
      </c>
      <c r="H28" s="30">
        <f t="shared" si="12"/>
        <v>15.803747534516674</v>
      </c>
      <c r="I28" s="30">
        <f t="shared" si="12"/>
        <v>0</v>
      </c>
      <c r="J28" s="30">
        <f t="shared" si="12"/>
        <v>0</v>
      </c>
    </row>
    <row r="29" spans="3:10" x14ac:dyDescent="0.35">
      <c r="F29" s="30"/>
      <c r="G29" s="30"/>
      <c r="H29" s="30"/>
      <c r="I29" s="30"/>
      <c r="J29" s="30"/>
    </row>
    <row r="30" spans="3:10" x14ac:dyDescent="0.35">
      <c r="C30" s="27" t="s">
        <v>15</v>
      </c>
      <c r="F30" s="30">
        <f>E32</f>
        <v>0</v>
      </c>
      <c r="G30" s="30">
        <f t="shared" ref="G30:J30" si="13">F32</f>
        <v>0</v>
      </c>
      <c r="H30" s="30">
        <f t="shared" si="13"/>
        <v>84.196252465483326</v>
      </c>
      <c r="I30" s="30">
        <f t="shared" si="13"/>
        <v>100</v>
      </c>
      <c r="J30" s="30">
        <f t="shared" si="13"/>
        <v>100</v>
      </c>
    </row>
    <row r="31" spans="3:10" ht="15" thickBot="1" x14ac:dyDescent="0.4">
      <c r="C31" s="34" t="s">
        <v>176</v>
      </c>
      <c r="D31" s="34"/>
      <c r="E31" s="34"/>
      <c r="F31" s="35">
        <f>MIN(F28,F24)</f>
        <v>0</v>
      </c>
      <c r="G31" s="35">
        <f t="shared" ref="G31:J31" si="14">MIN(G28,G24)</f>
        <v>84.196252465483326</v>
      </c>
      <c r="H31" s="35">
        <f t="shared" si="14"/>
        <v>15.803747534516674</v>
      </c>
      <c r="I31" s="35">
        <f t="shared" si="14"/>
        <v>0</v>
      </c>
      <c r="J31" s="35">
        <f t="shared" si="14"/>
        <v>0</v>
      </c>
    </row>
    <row r="32" spans="3:10" x14ac:dyDescent="0.35">
      <c r="C32" s="27" t="s">
        <v>17</v>
      </c>
      <c r="F32" s="30">
        <f>SUM(F30:F31)</f>
        <v>0</v>
      </c>
      <c r="G32" s="30">
        <f t="shared" ref="G32:J32" si="15">SUM(G30:G31)</f>
        <v>84.196252465483326</v>
      </c>
      <c r="H32" s="30">
        <f t="shared" si="15"/>
        <v>100</v>
      </c>
      <c r="I32" s="30">
        <f t="shared" si="15"/>
        <v>100</v>
      </c>
      <c r="J32" s="30">
        <f t="shared" si="15"/>
        <v>100</v>
      </c>
    </row>
    <row r="33" spans="3:10" x14ac:dyDescent="0.35">
      <c r="C33" s="27" t="s">
        <v>160</v>
      </c>
      <c r="E33" s="31">
        <f>F5</f>
        <v>0.08</v>
      </c>
      <c r="F33" s="30">
        <f>$E$33*F30</f>
        <v>0</v>
      </c>
      <c r="G33" s="30">
        <f t="shared" ref="G33:J33" si="16">$E$33*G30</f>
        <v>0</v>
      </c>
      <c r="H33" s="30">
        <f t="shared" si="16"/>
        <v>6.7357001972386659</v>
      </c>
      <c r="I33" s="30">
        <f t="shared" si="16"/>
        <v>8</v>
      </c>
      <c r="J33" s="30">
        <f t="shared" si="16"/>
        <v>8</v>
      </c>
    </row>
    <row r="35" spans="3:10" x14ac:dyDescent="0.35">
      <c r="C35" s="27" t="s">
        <v>166</v>
      </c>
      <c r="F35" s="30">
        <f>F24-F31</f>
        <v>0</v>
      </c>
      <c r="G35" s="30">
        <f t="shared" ref="G35:J35" si="17">G24-G31</f>
        <v>0</v>
      </c>
      <c r="H35" s="30">
        <f t="shared" si="17"/>
        <v>170.93195266272198</v>
      </c>
      <c r="I35" s="30">
        <f t="shared" si="17"/>
        <v>234.83727810650888</v>
      </c>
      <c r="J35" s="30">
        <f t="shared" si="17"/>
        <v>94.230769230769226</v>
      </c>
    </row>
    <row r="37" spans="3:10" x14ac:dyDescent="0.35">
      <c r="C37" s="27" t="s">
        <v>15</v>
      </c>
      <c r="F37" s="30">
        <f>E39</f>
        <v>0</v>
      </c>
      <c r="G37" s="30">
        <f t="shared" ref="G37:J37" si="18">F39</f>
        <v>0</v>
      </c>
      <c r="H37" s="30">
        <f t="shared" si="18"/>
        <v>0</v>
      </c>
      <c r="I37" s="30">
        <f t="shared" si="18"/>
        <v>170.93195266272198</v>
      </c>
      <c r="J37" s="30">
        <f t="shared" si="18"/>
        <v>405.76923076923083</v>
      </c>
    </row>
    <row r="38" spans="3:10" ht="15" thickBot="1" x14ac:dyDescent="0.4">
      <c r="C38" s="34" t="s">
        <v>157</v>
      </c>
      <c r="D38" s="34"/>
      <c r="E38" s="34"/>
      <c r="F38" s="35">
        <f>F35</f>
        <v>0</v>
      </c>
      <c r="G38" s="35">
        <f t="shared" ref="G38:J38" si="19">G35</f>
        <v>0</v>
      </c>
      <c r="H38" s="35">
        <f t="shared" si="19"/>
        <v>170.93195266272198</v>
      </c>
      <c r="I38" s="35">
        <f t="shared" si="19"/>
        <v>234.83727810650888</v>
      </c>
      <c r="J38" s="35">
        <f t="shared" si="19"/>
        <v>94.230769230769226</v>
      </c>
    </row>
    <row r="39" spans="3:10" x14ac:dyDescent="0.35">
      <c r="C39" s="27" t="s">
        <v>17</v>
      </c>
      <c r="F39" s="30">
        <f>SUM(F37:F38)</f>
        <v>0</v>
      </c>
      <c r="G39" s="30">
        <f t="shared" ref="G39:J39" si="20">SUM(G37:G38)</f>
        <v>0</v>
      </c>
      <c r="H39" s="30">
        <f t="shared" si="20"/>
        <v>170.93195266272198</v>
      </c>
      <c r="I39" s="30">
        <f t="shared" si="20"/>
        <v>405.76923076923083</v>
      </c>
      <c r="J39" s="30">
        <f t="shared" si="20"/>
        <v>500.00000000000006</v>
      </c>
    </row>
    <row r="40" spans="3:10" x14ac:dyDescent="0.35">
      <c r="C40" s="27" t="s">
        <v>160</v>
      </c>
      <c r="E40" s="31">
        <f>F4</f>
        <v>0.04</v>
      </c>
      <c r="F40" s="30">
        <f>$E$40*F37</f>
        <v>0</v>
      </c>
      <c r="G40" s="30">
        <f t="shared" ref="G40:J40" si="21">$E$40*G37</f>
        <v>0</v>
      </c>
      <c r="H40" s="30">
        <f t="shared" si="21"/>
        <v>0</v>
      </c>
      <c r="I40" s="30">
        <f t="shared" si="21"/>
        <v>6.8372781065088795</v>
      </c>
      <c r="J40" s="30">
        <f t="shared" si="21"/>
        <v>16.230769230769234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357"/>
  <sheetViews>
    <sheetView topLeftCell="A99" zoomScale="80" zoomScaleNormal="80" workbookViewId="0">
      <selection activeCell="A124" sqref="A124"/>
    </sheetView>
  </sheetViews>
  <sheetFormatPr defaultRowHeight="14.5" x14ac:dyDescent="0.35"/>
  <cols>
    <col min="1" max="3" width="2.6328125" customWidth="1"/>
    <col min="4" max="4" width="32.90625" customWidth="1"/>
    <col min="5" max="48" width="10.6328125" customWidth="1"/>
  </cols>
  <sheetData>
    <row r="1" spans="1:10" x14ac:dyDescent="0.35">
      <c r="A1" s="1" t="s">
        <v>167</v>
      </c>
    </row>
    <row r="2" spans="1:10" x14ac:dyDescent="0.35">
      <c r="A2" s="1"/>
      <c r="B2" t="s">
        <v>0</v>
      </c>
    </row>
    <row r="3" spans="1:10" x14ac:dyDescent="0.35">
      <c r="C3" t="s">
        <v>1</v>
      </c>
      <c r="F3">
        <v>200</v>
      </c>
    </row>
    <row r="4" spans="1:10" x14ac:dyDescent="0.35">
      <c r="C4" t="s">
        <v>2</v>
      </c>
      <c r="F4">
        <v>400</v>
      </c>
    </row>
    <row r="5" spans="1:10" x14ac:dyDescent="0.35">
      <c r="C5" t="s">
        <v>3</v>
      </c>
      <c r="F5">
        <f>F8-F3-F4</f>
        <v>280</v>
      </c>
    </row>
    <row r="6" spans="1:10" ht="15" thickBot="1" x14ac:dyDescent="0.4">
      <c r="D6" s="2" t="s">
        <v>4</v>
      </c>
      <c r="E6" s="2"/>
      <c r="F6" s="2">
        <f>SUM(F3:F5)</f>
        <v>880</v>
      </c>
    </row>
    <row r="7" spans="1:10" ht="15" thickTop="1" x14ac:dyDescent="0.35"/>
    <row r="8" spans="1:10" x14ac:dyDescent="0.35">
      <c r="B8" t="s">
        <v>5</v>
      </c>
      <c r="F8">
        <f>SUMPRODUCT(F87:J87*F18:J18)</f>
        <v>880</v>
      </c>
    </row>
    <row r="10" spans="1:10" x14ac:dyDescent="0.35">
      <c r="B10" t="s">
        <v>6</v>
      </c>
      <c r="F10">
        <f>F6-F8</f>
        <v>0</v>
      </c>
    </row>
    <row r="12" spans="1:10" x14ac:dyDescent="0.35">
      <c r="B12" t="s">
        <v>7</v>
      </c>
    </row>
    <row r="13" spans="1:10" x14ac:dyDescent="0.35">
      <c r="C13" t="s">
        <v>8</v>
      </c>
      <c r="F13">
        <f>G13-1</f>
        <v>-4</v>
      </c>
      <c r="G13">
        <f>H13-1</f>
        <v>-3</v>
      </c>
      <c r="H13">
        <f>I13-1</f>
        <v>-2</v>
      </c>
      <c r="I13">
        <f>J13-1</f>
        <v>-1</v>
      </c>
      <c r="J13">
        <v>0</v>
      </c>
    </row>
    <row r="14" spans="1:10" x14ac:dyDescent="0.35">
      <c r="C14" t="s">
        <v>9</v>
      </c>
      <c r="F14" t="b">
        <f>F13=0</f>
        <v>0</v>
      </c>
      <c r="G14" t="b">
        <f>G13=0</f>
        <v>0</v>
      </c>
      <c r="H14" t="b">
        <f>H13=0</f>
        <v>0</v>
      </c>
      <c r="I14" t="b">
        <f>I13=0</f>
        <v>0</v>
      </c>
      <c r="J14" t="b">
        <f>J13=0</f>
        <v>1</v>
      </c>
    </row>
    <row r="16" spans="1:10" ht="15" thickBot="1" x14ac:dyDescent="0.4">
      <c r="C16" s="2" t="s">
        <v>10</v>
      </c>
      <c r="D16" s="2"/>
      <c r="E16" s="2"/>
      <c r="F16" s="3">
        <v>100</v>
      </c>
      <c r="G16" s="3">
        <v>130</v>
      </c>
      <c r="H16" s="3">
        <v>180</v>
      </c>
      <c r="I16" s="3">
        <v>220</v>
      </c>
      <c r="J16" s="3">
        <v>250</v>
      </c>
    </row>
    <row r="17" spans="3:10" ht="15" thickTop="1" x14ac:dyDescent="0.35"/>
    <row r="18" spans="3:10" x14ac:dyDescent="0.35">
      <c r="C18" t="s">
        <v>11</v>
      </c>
      <c r="F18">
        <f>D18+F16</f>
        <v>100</v>
      </c>
      <c r="G18">
        <f>F18+G16</f>
        <v>230</v>
      </c>
      <c r="H18">
        <f>G18+H16</f>
        <v>410</v>
      </c>
      <c r="I18">
        <f>H18+I16</f>
        <v>630</v>
      </c>
      <c r="J18">
        <f>I18+J16</f>
        <v>880</v>
      </c>
    </row>
    <row r="20" spans="3:10" x14ac:dyDescent="0.35">
      <c r="C20" t="s">
        <v>12</v>
      </c>
      <c r="F20">
        <f>$F$3</f>
        <v>200</v>
      </c>
      <c r="G20">
        <f>$F$3</f>
        <v>200</v>
      </c>
      <c r="H20">
        <f>$F$3</f>
        <v>200</v>
      </c>
      <c r="I20">
        <f>$F$3</f>
        <v>200</v>
      </c>
      <c r="J20">
        <f>$F$3</f>
        <v>200</v>
      </c>
    </row>
    <row r="21" spans="3:10" x14ac:dyDescent="0.35">
      <c r="C21" t="s">
        <v>13</v>
      </c>
      <c r="F21">
        <f>F24</f>
        <v>0</v>
      </c>
      <c r="G21">
        <f>G24</f>
        <v>100</v>
      </c>
      <c r="H21">
        <f>H24</f>
        <v>200</v>
      </c>
      <c r="I21">
        <f>I24</f>
        <v>200</v>
      </c>
      <c r="J21">
        <f>J24</f>
        <v>200</v>
      </c>
    </row>
    <row r="22" spans="3:10" x14ac:dyDescent="0.35">
      <c r="C22" t="s">
        <v>14</v>
      </c>
      <c r="F22">
        <f>F20-F21</f>
        <v>200</v>
      </c>
      <c r="G22">
        <f>G20-G21</f>
        <v>100</v>
      </c>
      <c r="H22">
        <f>H20-H21</f>
        <v>0</v>
      </c>
      <c r="I22">
        <f>I20-I21</f>
        <v>0</v>
      </c>
      <c r="J22">
        <f>J20-J21</f>
        <v>0</v>
      </c>
    </row>
    <row r="24" spans="3:10" ht="15" thickBot="1" x14ac:dyDescent="0.4">
      <c r="C24" t="s">
        <v>15</v>
      </c>
      <c r="F24">
        <f>D26</f>
        <v>0</v>
      </c>
      <c r="G24">
        <f>F26</f>
        <v>100</v>
      </c>
      <c r="H24">
        <f>G26</f>
        <v>200</v>
      </c>
      <c r="I24">
        <f>H26</f>
        <v>200</v>
      </c>
      <c r="J24">
        <f>I26</f>
        <v>200</v>
      </c>
    </row>
    <row r="25" spans="3:10" ht="15" thickBot="1" x14ac:dyDescent="0.4">
      <c r="C25" s="4" t="s">
        <v>16</v>
      </c>
      <c r="D25" s="5"/>
      <c r="E25" s="5"/>
      <c r="F25" s="5">
        <f>MIN(F16,F22)</f>
        <v>100</v>
      </c>
      <c r="G25" s="5">
        <f>MIN(G16,G22)</f>
        <v>100</v>
      </c>
      <c r="H25" s="5">
        <f>MIN(H16,H22)</f>
        <v>0</v>
      </c>
      <c r="I25" s="5">
        <f>MIN(I16,I22)</f>
        <v>0</v>
      </c>
      <c r="J25" s="6">
        <f>MIN(J16,J22)</f>
        <v>0</v>
      </c>
    </row>
    <row r="26" spans="3:10" x14ac:dyDescent="0.35">
      <c r="C26" t="s">
        <v>17</v>
      </c>
      <c r="F26">
        <f>F24+F25</f>
        <v>100</v>
      </c>
      <c r="G26">
        <f>G24+G25</f>
        <v>200</v>
      </c>
      <c r="H26">
        <f>H24+H25</f>
        <v>200</v>
      </c>
      <c r="I26">
        <f>I24+I25</f>
        <v>200</v>
      </c>
      <c r="J26">
        <f>J24+J25</f>
        <v>200</v>
      </c>
    </row>
    <row r="28" spans="3:10" ht="15" thickBot="1" x14ac:dyDescent="0.4">
      <c r="C28" s="2" t="s">
        <v>18</v>
      </c>
      <c r="D28" s="2"/>
      <c r="E28" s="2"/>
      <c r="F28" s="2">
        <f>F16-F25</f>
        <v>0</v>
      </c>
      <c r="G28" s="2">
        <f>G16-G25</f>
        <v>30</v>
      </c>
      <c r="H28" s="2">
        <f>H16-H25</f>
        <v>180</v>
      </c>
      <c r="I28" s="2">
        <f>I16-I25</f>
        <v>220</v>
      </c>
      <c r="J28" s="2">
        <f>J16-J25</f>
        <v>250</v>
      </c>
    </row>
    <row r="29" spans="3:10" ht="15" thickTop="1" x14ac:dyDescent="0.35"/>
    <row r="30" spans="3:10" x14ac:dyDescent="0.35">
      <c r="C30" t="s">
        <v>19</v>
      </c>
      <c r="F30">
        <f>$F$5</f>
        <v>280</v>
      </c>
      <c r="G30">
        <f>$F$5</f>
        <v>280</v>
      </c>
      <c r="H30">
        <f>$F$5</f>
        <v>280</v>
      </c>
      <c r="I30">
        <f>$F$5</f>
        <v>280</v>
      </c>
      <c r="J30">
        <f>$F$5</f>
        <v>280</v>
      </c>
    </row>
    <row r="31" spans="3:10" x14ac:dyDescent="0.35">
      <c r="C31" t="s">
        <v>20</v>
      </c>
      <c r="F31">
        <f>F34</f>
        <v>0</v>
      </c>
      <c r="G31">
        <f>G34</f>
        <v>0</v>
      </c>
      <c r="H31">
        <f>H34</f>
        <v>30</v>
      </c>
      <c r="I31">
        <f>I34</f>
        <v>210</v>
      </c>
      <c r="J31">
        <f>J34</f>
        <v>280</v>
      </c>
    </row>
    <row r="32" spans="3:10" x14ac:dyDescent="0.35">
      <c r="C32" t="s">
        <v>21</v>
      </c>
      <c r="F32">
        <f>F30-F31</f>
        <v>280</v>
      </c>
      <c r="G32">
        <f>G30-G31</f>
        <v>280</v>
      </c>
      <c r="H32">
        <f>H30-H31</f>
        <v>250</v>
      </c>
      <c r="I32">
        <f>I30-I31</f>
        <v>70</v>
      </c>
      <c r="J32">
        <f>J30-J31</f>
        <v>0</v>
      </c>
    </row>
    <row r="34" spans="3:10" ht="15" thickBot="1" x14ac:dyDescent="0.4">
      <c r="C34" t="s">
        <v>15</v>
      </c>
      <c r="F34">
        <f>D36</f>
        <v>0</v>
      </c>
      <c r="G34">
        <f>F36</f>
        <v>0</v>
      </c>
      <c r="H34">
        <f>G36</f>
        <v>30</v>
      </c>
      <c r="I34">
        <f>H36</f>
        <v>210</v>
      </c>
      <c r="J34">
        <f>I36</f>
        <v>280</v>
      </c>
    </row>
    <row r="35" spans="3:10" ht="15" thickBot="1" x14ac:dyDescent="0.4">
      <c r="C35" s="4" t="s">
        <v>16</v>
      </c>
      <c r="D35" s="5"/>
      <c r="E35" s="5"/>
      <c r="F35" s="5">
        <f>MIN(F32,F28)</f>
        <v>0</v>
      </c>
      <c r="G35" s="5">
        <f>MIN(G32,G28)</f>
        <v>30</v>
      </c>
      <c r="H35" s="5">
        <f>MIN(H32,H28)</f>
        <v>180</v>
      </c>
      <c r="I35" s="5">
        <f>MIN(I32,I28)</f>
        <v>70</v>
      </c>
      <c r="J35" s="6">
        <f>MIN(J32,J28)</f>
        <v>0</v>
      </c>
    </row>
    <row r="36" spans="3:10" x14ac:dyDescent="0.35">
      <c r="C36" t="s">
        <v>17</v>
      </c>
      <c r="F36">
        <f>F34+F35</f>
        <v>0</v>
      </c>
      <c r="G36">
        <f>G34+G35</f>
        <v>30</v>
      </c>
      <c r="H36">
        <f>H34+H35</f>
        <v>210</v>
      </c>
      <c r="I36">
        <f>I34+I35</f>
        <v>280</v>
      </c>
      <c r="J36">
        <f>J34+J35</f>
        <v>280</v>
      </c>
    </row>
    <row r="38" spans="3:10" ht="15" thickBot="1" x14ac:dyDescent="0.4">
      <c r="C38" s="2" t="s">
        <v>22</v>
      </c>
      <c r="D38" s="2"/>
      <c r="E38" s="2"/>
      <c r="F38" s="2">
        <f>F28-F35</f>
        <v>0</v>
      </c>
      <c r="G38" s="2">
        <f>G28-G35</f>
        <v>0</v>
      </c>
      <c r="H38" s="2">
        <f>H28-H35</f>
        <v>0</v>
      </c>
      <c r="I38" s="2">
        <f>I28-I35</f>
        <v>150</v>
      </c>
      <c r="J38" s="2">
        <f>J28-J35</f>
        <v>250</v>
      </c>
    </row>
    <row r="39" spans="3:10" ht="15" thickTop="1" x14ac:dyDescent="0.35"/>
    <row r="40" spans="3:10" x14ac:dyDescent="0.35">
      <c r="C40" t="s">
        <v>23</v>
      </c>
      <c r="F40">
        <f>$F$4</f>
        <v>400</v>
      </c>
      <c r="G40">
        <f>$F$4</f>
        <v>400</v>
      </c>
      <c r="H40">
        <f>$F$4</f>
        <v>400</v>
      </c>
      <c r="I40">
        <f>$F$4</f>
        <v>400</v>
      </c>
      <c r="J40">
        <f>$F$4</f>
        <v>400</v>
      </c>
    </row>
    <row r="41" spans="3:10" x14ac:dyDescent="0.35">
      <c r="C41" t="s">
        <v>24</v>
      </c>
      <c r="F41">
        <f>F44</f>
        <v>0</v>
      </c>
      <c r="G41">
        <f>G44</f>
        <v>0</v>
      </c>
      <c r="H41">
        <f>H44</f>
        <v>0</v>
      </c>
      <c r="I41">
        <f>I44</f>
        <v>0</v>
      </c>
      <c r="J41">
        <f>J44</f>
        <v>150</v>
      </c>
    </row>
    <row r="42" spans="3:10" x14ac:dyDescent="0.35">
      <c r="C42" t="s">
        <v>25</v>
      </c>
      <c r="F42">
        <f>F40-F41</f>
        <v>400</v>
      </c>
      <c r="G42">
        <f>G40-G41</f>
        <v>400</v>
      </c>
      <c r="H42">
        <f>H40-H41</f>
        <v>400</v>
      </c>
      <c r="I42">
        <f>I40-I41</f>
        <v>400</v>
      </c>
      <c r="J42">
        <f>J40-J41</f>
        <v>250</v>
      </c>
    </row>
    <row r="44" spans="3:10" ht="15" thickBot="1" x14ac:dyDescent="0.4">
      <c r="C44" t="s">
        <v>15</v>
      </c>
      <c r="F44">
        <f>D46</f>
        <v>0</v>
      </c>
      <c r="G44">
        <f>F46</f>
        <v>0</v>
      </c>
      <c r="H44">
        <f>G46</f>
        <v>0</v>
      </c>
      <c r="I44">
        <f>H46</f>
        <v>0</v>
      </c>
      <c r="J44">
        <f>I46</f>
        <v>150</v>
      </c>
    </row>
    <row r="45" spans="3:10" ht="15" thickBot="1" x14ac:dyDescent="0.4">
      <c r="C45" s="4" t="s">
        <v>26</v>
      </c>
      <c r="D45" s="5"/>
      <c r="E45" s="5"/>
      <c r="F45" s="5">
        <f>MIN(F42,F38)</f>
        <v>0</v>
      </c>
      <c r="G45" s="5">
        <f>MIN(G42,G38)</f>
        <v>0</v>
      </c>
      <c r="H45" s="5">
        <f>MIN(H42,H38)</f>
        <v>0</v>
      </c>
      <c r="I45" s="5">
        <f>MIN(I42,I38)</f>
        <v>150</v>
      </c>
      <c r="J45" s="6">
        <f>MIN(J42,J38)</f>
        <v>250</v>
      </c>
    </row>
    <row r="46" spans="3:10" x14ac:dyDescent="0.35">
      <c r="C46" t="s">
        <v>17</v>
      </c>
      <c r="F46">
        <f>F44+F45</f>
        <v>0</v>
      </c>
      <c r="G46">
        <f>G44+G45</f>
        <v>0</v>
      </c>
      <c r="H46">
        <f>H44+H45</f>
        <v>0</v>
      </c>
      <c r="I46">
        <f>I44+I45</f>
        <v>150</v>
      </c>
      <c r="J46">
        <f>J44+J45</f>
        <v>400</v>
      </c>
    </row>
    <row r="50" spans="1:19" s="7" customFormat="1" x14ac:dyDescent="0.35"/>
    <row r="51" spans="1:19" x14ac:dyDescent="0.35">
      <c r="A51" t="s">
        <v>27</v>
      </c>
    </row>
    <row r="52" spans="1:19" x14ac:dyDescent="0.35">
      <c r="E52" s="8" t="s">
        <v>28</v>
      </c>
      <c r="F52" s="8"/>
      <c r="G52" t="s">
        <v>29</v>
      </c>
      <c r="H52" s="8" t="s">
        <v>30</v>
      </c>
      <c r="I52" s="8" t="s">
        <v>31</v>
      </c>
      <c r="J52" s="8"/>
      <c r="K52" s="8"/>
      <c r="L52" s="8" t="s">
        <v>32</v>
      </c>
      <c r="M52" s="8" t="s">
        <v>33</v>
      </c>
      <c r="N52" s="8" t="s">
        <v>34</v>
      </c>
      <c r="O52" s="8" t="s">
        <v>35</v>
      </c>
      <c r="P52" s="8" t="s">
        <v>35</v>
      </c>
      <c r="Q52" s="8" t="s">
        <v>36</v>
      </c>
      <c r="R52" s="8"/>
      <c r="S52" s="8"/>
    </row>
    <row r="53" spans="1:19" x14ac:dyDescent="0.35">
      <c r="E53" s="8" t="s">
        <v>37</v>
      </c>
      <c r="F53" s="8" t="s">
        <v>4</v>
      </c>
      <c r="G53" t="s">
        <v>37</v>
      </c>
      <c r="H53" s="8" t="s">
        <v>38</v>
      </c>
      <c r="I53" s="8" t="s">
        <v>39</v>
      </c>
      <c r="J53" s="8" t="s">
        <v>40</v>
      </c>
      <c r="K53" s="8" t="s">
        <v>41</v>
      </c>
      <c r="L53" s="8" t="s">
        <v>42</v>
      </c>
      <c r="M53" s="8" t="s">
        <v>43</v>
      </c>
      <c r="N53" s="8" t="s">
        <v>44</v>
      </c>
      <c r="O53" s="8" t="s">
        <v>39</v>
      </c>
      <c r="P53" s="8" t="s">
        <v>32</v>
      </c>
      <c r="Q53" s="8" t="s">
        <v>45</v>
      </c>
      <c r="R53" s="8" t="s">
        <v>39</v>
      </c>
      <c r="S53" s="8" t="s">
        <v>46</v>
      </c>
    </row>
    <row r="54" spans="1:19" x14ac:dyDescent="0.35">
      <c r="B54" t="s">
        <v>0</v>
      </c>
      <c r="E54" s="8" t="s">
        <v>47</v>
      </c>
      <c r="F54" s="8" t="s">
        <v>37</v>
      </c>
      <c r="G54" t="s">
        <v>8</v>
      </c>
      <c r="H54" s="8" t="s">
        <v>37</v>
      </c>
      <c r="I54" s="8" t="s">
        <v>48</v>
      </c>
      <c r="J54" s="8" t="s">
        <v>48</v>
      </c>
      <c r="K54" s="8" t="s">
        <v>37</v>
      </c>
      <c r="L54" s="8" t="s">
        <v>49</v>
      </c>
      <c r="M54" s="8" t="s">
        <v>50</v>
      </c>
      <c r="N54" s="8" t="s">
        <v>51</v>
      </c>
      <c r="O54" s="8" t="s">
        <v>52</v>
      </c>
      <c r="P54" s="8" t="s">
        <v>52</v>
      </c>
      <c r="Q54" s="8" t="s">
        <v>53</v>
      </c>
      <c r="R54" s="8" t="s">
        <v>54</v>
      </c>
      <c r="S54" s="8" t="s">
        <v>55</v>
      </c>
    </row>
    <row r="55" spans="1:19" ht="15" thickBot="1" x14ac:dyDescent="0.4">
      <c r="C55" t="s">
        <v>1</v>
      </c>
      <c r="E55" t="b">
        <v>0</v>
      </c>
      <c r="F55" s="9">
        <v>50</v>
      </c>
      <c r="G55" t="b">
        <v>1</v>
      </c>
      <c r="H55">
        <v>1</v>
      </c>
      <c r="I55" s="10">
        <f>CHOOSE(M55,E126,E161,E196)</f>
        <v>0</v>
      </c>
      <c r="J55" s="10">
        <f>CHOOSE(M55,E127,E162,E197)</f>
        <v>0</v>
      </c>
      <c r="K55" s="10">
        <f>F55</f>
        <v>50</v>
      </c>
      <c r="L55" s="11">
        <v>0</v>
      </c>
      <c r="M55">
        <v>1</v>
      </c>
      <c r="O55" t="b">
        <v>0</v>
      </c>
      <c r="P55" t="b">
        <v>0</v>
      </c>
      <c r="Q55" s="11">
        <v>0.05</v>
      </c>
      <c r="R55" s="11">
        <v>0</v>
      </c>
      <c r="S55" t="b">
        <v>0</v>
      </c>
    </row>
    <row r="56" spans="1:19" ht="15" thickBot="1" x14ac:dyDescent="0.4">
      <c r="C56" t="s">
        <v>56</v>
      </c>
      <c r="E56" t="b">
        <v>1</v>
      </c>
      <c r="F56" s="12">
        <f>F69</f>
        <v>67.33439999999996</v>
      </c>
      <c r="G56" t="b">
        <v>0</v>
      </c>
      <c r="I56" s="10">
        <f>CHOOSE(M56,E126,E161,E197)</f>
        <v>3.3667199999999982</v>
      </c>
      <c r="J56" s="10">
        <f>CHOOSE(M56,E127,E162,E197)</f>
        <v>3.3667199999999982</v>
      </c>
      <c r="K56" s="10">
        <f>I60-K55-K57</f>
        <v>67.33439999999996</v>
      </c>
      <c r="L56" s="11">
        <v>0.01</v>
      </c>
      <c r="M56">
        <v>3</v>
      </c>
      <c r="O56" t="b">
        <v>1</v>
      </c>
      <c r="P56" t="b">
        <v>1</v>
      </c>
      <c r="Q56" s="11">
        <v>0.85</v>
      </c>
      <c r="R56" s="11">
        <v>0.05</v>
      </c>
      <c r="S56" t="b">
        <v>1</v>
      </c>
    </row>
    <row r="57" spans="1:19" ht="15" thickBot="1" x14ac:dyDescent="0.4">
      <c r="C57" t="s">
        <v>57</v>
      </c>
      <c r="E57" t="b">
        <v>0</v>
      </c>
      <c r="F57" s="13">
        <v>600</v>
      </c>
      <c r="G57" t="b">
        <v>0</v>
      </c>
      <c r="I57" s="10">
        <f>CHOOSE(M57,E126,E161,E196)</f>
        <v>132.66560000000001</v>
      </c>
      <c r="J57" s="10">
        <f>CHOOSE(M57,E127,E162,E197)</f>
        <v>30</v>
      </c>
      <c r="K57" s="14">
        <f>F73</f>
        <v>762.66560000000004</v>
      </c>
      <c r="L57" s="11">
        <v>0.02</v>
      </c>
      <c r="M57">
        <v>2</v>
      </c>
      <c r="N57">
        <v>1.25</v>
      </c>
      <c r="O57" t="b">
        <v>1</v>
      </c>
      <c r="P57" t="b">
        <v>1</v>
      </c>
      <c r="Q57" s="11">
        <v>0.05</v>
      </c>
      <c r="R57" s="11">
        <v>0.1</v>
      </c>
      <c r="S57" t="b">
        <v>0</v>
      </c>
    </row>
    <row r="58" spans="1:19" x14ac:dyDescent="0.35">
      <c r="C58" t="s">
        <v>58</v>
      </c>
      <c r="F58" s="13"/>
      <c r="G58" s="10"/>
      <c r="H58" s="10"/>
      <c r="I58" s="15"/>
      <c r="J58" s="11"/>
      <c r="O58" s="11"/>
      <c r="P58" s="11"/>
    </row>
    <row r="60" spans="1:19" x14ac:dyDescent="0.35">
      <c r="F60" s="10">
        <f>SUM(F55:F59)</f>
        <v>717.33439999999996</v>
      </c>
      <c r="G60" s="10">
        <f>SUM(I55:I57)</f>
        <v>136.03232</v>
      </c>
      <c r="H60" s="10">
        <f>SUM(J55:J57)</f>
        <v>33.366720000000001</v>
      </c>
      <c r="I60" s="10">
        <f>F65</f>
        <v>880</v>
      </c>
    </row>
    <row r="61" spans="1:19" x14ac:dyDescent="0.35">
      <c r="F61" s="10"/>
      <c r="G61" s="10"/>
      <c r="H61" s="10"/>
      <c r="I61" s="10"/>
    </row>
    <row r="62" spans="1:19" x14ac:dyDescent="0.35">
      <c r="C62" t="s">
        <v>59</v>
      </c>
      <c r="E62" t="s">
        <v>60</v>
      </c>
      <c r="F62" s="10">
        <v>200</v>
      </c>
      <c r="G62" s="10"/>
      <c r="H62" s="10"/>
      <c r="I62" s="10"/>
    </row>
    <row r="64" spans="1:19" x14ac:dyDescent="0.35">
      <c r="C64" t="s">
        <v>61</v>
      </c>
      <c r="E64" t="s">
        <v>62</v>
      </c>
      <c r="F64" s="10">
        <f>F83</f>
        <v>880</v>
      </c>
      <c r="G64" t="s">
        <v>63</v>
      </c>
    </row>
    <row r="65" spans="1:9" x14ac:dyDescent="0.35">
      <c r="C65" t="s">
        <v>64</v>
      </c>
      <c r="E65" t="s">
        <v>65</v>
      </c>
      <c r="F65" s="16">
        <v>880</v>
      </c>
      <c r="G65" t="s">
        <v>66</v>
      </c>
    </row>
    <row r="66" spans="1:9" x14ac:dyDescent="0.35">
      <c r="C66" t="s">
        <v>6</v>
      </c>
      <c r="E66" t="s">
        <v>67</v>
      </c>
      <c r="F66" s="17">
        <f>F64-F65</f>
        <v>0</v>
      </c>
      <c r="G66" t="s">
        <v>68</v>
      </c>
    </row>
    <row r="67" spans="1:9" x14ac:dyDescent="0.35">
      <c r="F67" s="10"/>
    </row>
    <row r="68" spans="1:9" x14ac:dyDescent="0.35">
      <c r="C68" t="s">
        <v>69</v>
      </c>
      <c r="E68" t="s">
        <v>62</v>
      </c>
      <c r="F68" s="18">
        <f>K56</f>
        <v>67.33439999999996</v>
      </c>
      <c r="G68" t="s">
        <v>70</v>
      </c>
    </row>
    <row r="69" spans="1:9" x14ac:dyDescent="0.35">
      <c r="C69" t="s">
        <v>71</v>
      </c>
      <c r="E69" t="s">
        <v>65</v>
      </c>
      <c r="F69" s="16">
        <v>67.33439999999996</v>
      </c>
      <c r="G69" t="s">
        <v>72</v>
      </c>
    </row>
    <row r="70" spans="1:9" x14ac:dyDescent="0.35">
      <c r="C70" t="s">
        <v>6</v>
      </c>
      <c r="E70" t="s">
        <v>67</v>
      </c>
      <c r="F70" s="17">
        <f>F68-F69</f>
        <v>0</v>
      </c>
      <c r="G70" t="s">
        <v>73</v>
      </c>
    </row>
    <row r="71" spans="1:9" x14ac:dyDescent="0.35">
      <c r="F71" s="10"/>
    </row>
    <row r="72" spans="1:9" x14ac:dyDescent="0.35">
      <c r="C72" t="s">
        <v>74</v>
      </c>
      <c r="E72" t="s">
        <v>62</v>
      </c>
      <c r="F72" s="10">
        <f>F57+I57+J57</f>
        <v>762.66560000000004</v>
      </c>
      <c r="G72" t="s">
        <v>75</v>
      </c>
      <c r="I72" s="10">
        <f>CHOOSE(M57,J111,J144,J181)</f>
        <v>925.33120000000008</v>
      </c>
    </row>
    <row r="73" spans="1:9" x14ac:dyDescent="0.35">
      <c r="C73" t="s">
        <v>76</v>
      </c>
      <c r="E73" t="s">
        <v>65</v>
      </c>
      <c r="F73" s="16">
        <v>762.66560000000004</v>
      </c>
      <c r="G73" t="s">
        <v>77</v>
      </c>
    </row>
    <row r="74" spans="1:9" x14ac:dyDescent="0.35">
      <c r="C74" t="s">
        <v>6</v>
      </c>
      <c r="E74" t="s">
        <v>67</v>
      </c>
      <c r="F74" s="17">
        <f>F72-senior_to</f>
        <v>0</v>
      </c>
      <c r="G74" t="s">
        <v>78</v>
      </c>
    </row>
    <row r="76" spans="1:9" x14ac:dyDescent="0.35">
      <c r="C76" t="s">
        <v>79</v>
      </c>
      <c r="F76" s="10">
        <v>0</v>
      </c>
      <c r="G76" t="s">
        <v>80</v>
      </c>
    </row>
    <row r="78" spans="1:9" x14ac:dyDescent="0.35">
      <c r="A78" t="s">
        <v>81</v>
      </c>
      <c r="B78" t="s">
        <v>5</v>
      </c>
    </row>
    <row r="79" spans="1:9" x14ac:dyDescent="0.35">
      <c r="C79" t="s">
        <v>82</v>
      </c>
      <c r="F79" s="10">
        <f>SUMPRODUCT(F88:J88*F91:J91)</f>
        <v>880</v>
      </c>
    </row>
    <row r="80" spans="1:9" x14ac:dyDescent="0.35">
      <c r="C80" t="s">
        <v>83</v>
      </c>
    </row>
    <row r="81" spans="2:10" x14ac:dyDescent="0.35">
      <c r="C81" t="s">
        <v>84</v>
      </c>
      <c r="F81" s="10">
        <f>SUM(F92:J92)</f>
        <v>0</v>
      </c>
    </row>
    <row r="82" spans="2:10" x14ac:dyDescent="0.35">
      <c r="C82" t="s">
        <v>85</v>
      </c>
      <c r="F82" s="10">
        <f>SUM(F93:J93)</f>
        <v>0</v>
      </c>
    </row>
    <row r="83" spans="2:10" x14ac:dyDescent="0.35">
      <c r="C83" t="s">
        <v>4</v>
      </c>
      <c r="F83" s="10">
        <f>F79+F80+F81+F82</f>
        <v>880</v>
      </c>
    </row>
    <row r="85" spans="2:10" x14ac:dyDescent="0.35">
      <c r="B85" t="s">
        <v>7</v>
      </c>
    </row>
    <row r="86" spans="2:10" x14ac:dyDescent="0.35">
      <c r="C86" t="s">
        <v>8</v>
      </c>
      <c r="F86">
        <f>G86-1</f>
        <v>-4</v>
      </c>
      <c r="G86">
        <f>H86-1</f>
        <v>-3</v>
      </c>
      <c r="H86">
        <f>I86-1</f>
        <v>-2</v>
      </c>
      <c r="I86">
        <f>J86-1</f>
        <v>-1</v>
      </c>
      <c r="J86">
        <v>0</v>
      </c>
    </row>
    <row r="87" spans="2:10" x14ac:dyDescent="0.35">
      <c r="C87" t="s">
        <v>9</v>
      </c>
      <c r="F87" t="b">
        <f>F86=0</f>
        <v>0</v>
      </c>
      <c r="G87" t="b">
        <f>G86=0</f>
        <v>0</v>
      </c>
      <c r="H87" t="b">
        <f>H86=0</f>
        <v>0</v>
      </c>
      <c r="I87" t="b">
        <f>I86=0</f>
        <v>0</v>
      </c>
      <c r="J87" t="b">
        <f>J86=0</f>
        <v>1</v>
      </c>
    </row>
    <row r="88" spans="2:10" x14ac:dyDescent="0.35">
      <c r="C88" t="s">
        <v>86</v>
      </c>
      <c r="F88" t="b">
        <f>F86&lt;1</f>
        <v>1</v>
      </c>
      <c r="G88" t="b">
        <f>G86&lt;1</f>
        <v>1</v>
      </c>
      <c r="H88" t="b">
        <f>H86&lt;1</f>
        <v>1</v>
      </c>
      <c r="I88" t="b">
        <f>I86&lt;1</f>
        <v>1</v>
      </c>
      <c r="J88" t="b">
        <f>J86&lt;1</f>
        <v>1</v>
      </c>
    </row>
    <row r="90" spans="2:10" x14ac:dyDescent="0.35">
      <c r="B90" t="s">
        <v>87</v>
      </c>
    </row>
    <row r="91" spans="2:10" x14ac:dyDescent="0.35">
      <c r="C91" t="s">
        <v>82</v>
      </c>
      <c r="F91" s="10">
        <f>F200</f>
        <v>100</v>
      </c>
      <c r="G91" s="10">
        <f>G200</f>
        <v>130</v>
      </c>
      <c r="H91" s="10">
        <f>H200</f>
        <v>180</v>
      </c>
      <c r="I91" s="10">
        <f>I200</f>
        <v>220</v>
      </c>
      <c r="J91" s="10">
        <f>J200</f>
        <v>250</v>
      </c>
    </row>
    <row r="92" spans="2:10" x14ac:dyDescent="0.35">
      <c r="C92" t="s">
        <v>88</v>
      </c>
      <c r="F92" s="10">
        <f>F116+F149+F186</f>
        <v>0</v>
      </c>
      <c r="G92" s="10">
        <f>G116+G149+G186</f>
        <v>0</v>
      </c>
      <c r="H92" s="10">
        <f>H116+H149+H186</f>
        <v>0</v>
      </c>
      <c r="I92" s="10">
        <f>I116+I149+I186</f>
        <v>0</v>
      </c>
      <c r="J92" s="10">
        <f>J116+J149+J186</f>
        <v>0</v>
      </c>
    </row>
    <row r="93" spans="2:10" x14ac:dyDescent="0.35">
      <c r="C93" t="s">
        <v>89</v>
      </c>
      <c r="F93" s="10">
        <f>F122+F156+F192</f>
        <v>0</v>
      </c>
      <c r="G93" s="10">
        <f>G122+G156+G192</f>
        <v>0</v>
      </c>
      <c r="H93" s="10">
        <f>H122+H156+H192</f>
        <v>0</v>
      </c>
      <c r="I93" s="10">
        <f>I122+I156+I192</f>
        <v>0</v>
      </c>
      <c r="J93" s="10">
        <f>J122+J156+J192</f>
        <v>0</v>
      </c>
    </row>
    <row r="94" spans="2:10" x14ac:dyDescent="0.35">
      <c r="C94" t="s">
        <v>90</v>
      </c>
      <c r="F94" s="10"/>
      <c r="G94" s="10"/>
      <c r="H94" s="10"/>
      <c r="I94" s="10"/>
      <c r="J94" s="10"/>
    </row>
    <row r="95" spans="2:10" ht="15" thickBot="1" x14ac:dyDescent="0.4">
      <c r="C95" s="2" t="s">
        <v>91</v>
      </c>
      <c r="D95" s="2"/>
      <c r="E95" s="2"/>
      <c r="F95" s="19">
        <f>SUM(F91:F93)</f>
        <v>100</v>
      </c>
      <c r="G95" s="19">
        <f>G91</f>
        <v>130</v>
      </c>
      <c r="H95" s="19">
        <f>H91</f>
        <v>180</v>
      </c>
      <c r="I95" s="19">
        <f>I91</f>
        <v>220</v>
      </c>
      <c r="J95" s="19">
        <f>J91</f>
        <v>250</v>
      </c>
    </row>
    <row r="96" spans="2:10" ht="15" thickTop="1" x14ac:dyDescent="0.35">
      <c r="F96" s="10"/>
      <c r="G96" s="10"/>
      <c r="H96" s="10"/>
      <c r="I96" s="10"/>
      <c r="J96" s="10"/>
    </row>
    <row r="97" spans="1:10" ht="15" thickBot="1" x14ac:dyDescent="0.4">
      <c r="B97" t="s">
        <v>92</v>
      </c>
      <c r="F97" s="10"/>
      <c r="G97" s="10"/>
      <c r="H97" s="10"/>
      <c r="I97" s="10"/>
      <c r="J97" s="10"/>
    </row>
    <row r="98" spans="1:10" ht="15" thickBot="1" x14ac:dyDescent="0.4">
      <c r="B98">
        <v>1</v>
      </c>
      <c r="C98" s="20">
        <f>MATCH(B98,M55:M57,0)</f>
        <v>1</v>
      </c>
      <c r="D98" t="str">
        <f>INDEX(C55:C57,C98)</f>
        <v>Equity</v>
      </c>
      <c r="F98" s="10"/>
      <c r="G98" s="10"/>
      <c r="H98" s="10"/>
      <c r="I98" s="10"/>
      <c r="J98" s="10"/>
    </row>
    <row r="99" spans="1:10" x14ac:dyDescent="0.35">
      <c r="A99" t="s">
        <v>81</v>
      </c>
      <c r="C99" t="s">
        <v>93</v>
      </c>
      <c r="E99" s="10">
        <f>INDEX(F55:F57,C98)</f>
        <v>50</v>
      </c>
      <c r="F99" s="10">
        <f t="shared" ref="F99:J101" si="0">E99</f>
        <v>50</v>
      </c>
      <c r="G99" s="10">
        <f t="shared" si="0"/>
        <v>50</v>
      </c>
      <c r="H99" s="10">
        <f t="shared" si="0"/>
        <v>50</v>
      </c>
      <c r="I99" s="10">
        <f t="shared" si="0"/>
        <v>50</v>
      </c>
      <c r="J99" s="10">
        <f t="shared" si="0"/>
        <v>50</v>
      </c>
    </row>
    <row r="100" spans="1:10" x14ac:dyDescent="0.35">
      <c r="C100" t="s">
        <v>94</v>
      </c>
      <c r="E100" s="10">
        <f>E126+E127</f>
        <v>0</v>
      </c>
      <c r="F100" s="10">
        <f t="shared" si="0"/>
        <v>0</v>
      </c>
      <c r="G100" s="10">
        <f t="shared" si="0"/>
        <v>0</v>
      </c>
      <c r="H100" s="10">
        <f t="shared" si="0"/>
        <v>0</v>
      </c>
      <c r="I100" s="10">
        <f t="shared" si="0"/>
        <v>0</v>
      </c>
      <c r="J100" s="10">
        <f t="shared" si="0"/>
        <v>0</v>
      </c>
    </row>
    <row r="101" spans="1:10" x14ac:dyDescent="0.35">
      <c r="C101" t="s">
        <v>95</v>
      </c>
      <c r="E101" s="10">
        <f>INDEX(K55:K57,C98)</f>
        <v>50</v>
      </c>
      <c r="F101" s="10">
        <f t="shared" si="0"/>
        <v>50</v>
      </c>
      <c r="G101" s="10">
        <f t="shared" si="0"/>
        <v>50</v>
      </c>
      <c r="H101" s="10">
        <f t="shared" si="0"/>
        <v>50</v>
      </c>
      <c r="I101" s="10">
        <f t="shared" si="0"/>
        <v>50</v>
      </c>
      <c r="J101" s="10">
        <f t="shared" si="0"/>
        <v>50</v>
      </c>
    </row>
    <row r="102" spans="1:10" x14ac:dyDescent="0.35">
      <c r="C102" t="s">
        <v>96</v>
      </c>
      <c r="F102" s="10">
        <f>F107</f>
        <v>0</v>
      </c>
      <c r="G102" s="10">
        <f>G107</f>
        <v>50</v>
      </c>
      <c r="H102" s="10">
        <f>H107</f>
        <v>50</v>
      </c>
      <c r="I102" s="10">
        <f>I107</f>
        <v>50</v>
      </c>
      <c r="J102" s="10">
        <f>J107</f>
        <v>50</v>
      </c>
    </row>
    <row r="103" spans="1:10" x14ac:dyDescent="0.35">
      <c r="C103" t="s">
        <v>97</v>
      </c>
      <c r="F103" s="10">
        <f>E124</f>
        <v>0</v>
      </c>
      <c r="G103" s="10">
        <f>F124</f>
        <v>0</v>
      </c>
      <c r="H103" s="10">
        <f>G124</f>
        <v>0</v>
      </c>
      <c r="I103" s="10">
        <f>H124</f>
        <v>0</v>
      </c>
      <c r="J103" s="10">
        <f>I124</f>
        <v>0</v>
      </c>
    </row>
    <row r="104" spans="1:10" x14ac:dyDescent="0.35">
      <c r="C104" t="s">
        <v>98</v>
      </c>
      <c r="F104" s="10">
        <f>MAX(F101-F102+F103,0)</f>
        <v>50</v>
      </c>
      <c r="G104" s="10">
        <f>MAX(G101-G102+G103,0)</f>
        <v>0</v>
      </c>
      <c r="H104" s="10">
        <f>MAX(H101-H102+H103,0)</f>
        <v>0</v>
      </c>
      <c r="I104" s="10">
        <f>MAX(I101-I102+I103,0)</f>
        <v>0</v>
      </c>
      <c r="J104" s="10">
        <f>MAX(J101-J102+J103,0)</f>
        <v>0</v>
      </c>
    </row>
    <row r="105" spans="1:10" x14ac:dyDescent="0.35">
      <c r="F105" s="10"/>
      <c r="G105" s="10"/>
      <c r="H105" s="10"/>
      <c r="I105" s="10"/>
      <c r="J105" s="10"/>
    </row>
    <row r="106" spans="1:10" x14ac:dyDescent="0.35">
      <c r="B106" t="str">
        <f>D98&amp;" Balance"</f>
        <v>Equity Balance</v>
      </c>
      <c r="F106" s="10"/>
      <c r="G106" s="10"/>
      <c r="H106" s="10"/>
      <c r="I106" s="10"/>
      <c r="J106" s="10"/>
    </row>
    <row r="107" spans="1:10" ht="15" thickBot="1" x14ac:dyDescent="0.4">
      <c r="C107" t="s">
        <v>15</v>
      </c>
      <c r="F107" s="10">
        <f>E111</f>
        <v>0</v>
      </c>
      <c r="G107" s="10">
        <f>F111</f>
        <v>50</v>
      </c>
      <c r="H107" s="10">
        <f>G111</f>
        <v>50</v>
      </c>
      <c r="I107" s="10">
        <f>H111</f>
        <v>50</v>
      </c>
      <c r="J107" s="10">
        <f>I111</f>
        <v>50</v>
      </c>
    </row>
    <row r="108" spans="1:10" ht="15" thickBot="1" x14ac:dyDescent="0.4">
      <c r="C108" s="4" t="s">
        <v>26</v>
      </c>
      <c r="D108" s="5"/>
      <c r="E108" s="21">
        <f>SUM(F108:J108)</f>
        <v>50</v>
      </c>
      <c r="F108" s="21">
        <f>MIN(F104,F95)</f>
        <v>50</v>
      </c>
      <c r="G108" s="21">
        <f>MIN(G104,G95)</f>
        <v>0</v>
      </c>
      <c r="H108" s="21">
        <f>MIN(H104,H95)</f>
        <v>0</v>
      </c>
      <c r="I108" s="21">
        <f>MIN(I104,I95)</f>
        <v>0</v>
      </c>
      <c r="J108" s="22">
        <f>MIN(J104,J95)</f>
        <v>0</v>
      </c>
    </row>
    <row r="109" spans="1:10" x14ac:dyDescent="0.35">
      <c r="C109" t="s">
        <v>99</v>
      </c>
      <c r="F109" s="10">
        <f>F115</f>
        <v>0</v>
      </c>
      <c r="G109" s="10">
        <f>G115</f>
        <v>0</v>
      </c>
      <c r="H109" s="10">
        <f>H115</f>
        <v>0</v>
      </c>
      <c r="I109" s="10">
        <f>I115</f>
        <v>0</v>
      </c>
      <c r="J109" s="10">
        <f>J115</f>
        <v>0</v>
      </c>
    </row>
    <row r="110" spans="1:10" x14ac:dyDescent="0.35">
      <c r="C110" t="s">
        <v>100</v>
      </c>
      <c r="F110" s="10">
        <f>F121</f>
        <v>0</v>
      </c>
      <c r="G110" s="10">
        <f>G121</f>
        <v>0</v>
      </c>
      <c r="H110" s="10">
        <f>H121</f>
        <v>0</v>
      </c>
      <c r="I110" s="10">
        <f>I121</f>
        <v>0</v>
      </c>
      <c r="J110" s="10">
        <f>J121</f>
        <v>0</v>
      </c>
    </row>
    <row r="111" spans="1:10" x14ac:dyDescent="0.35">
      <c r="C111" t="s">
        <v>17</v>
      </c>
      <c r="F111" s="10">
        <f>F107+F108+F109+F110</f>
        <v>50</v>
      </c>
      <c r="G111" s="10">
        <f>G107+G108+G109+G110</f>
        <v>50</v>
      </c>
      <c r="H111" s="10">
        <f>H107+H108+H109+H110</f>
        <v>50</v>
      </c>
      <c r="I111" s="10">
        <f>I107+I108+I109+I110</f>
        <v>50</v>
      </c>
      <c r="J111" s="10">
        <f>J107+J108+J109+J110</f>
        <v>50</v>
      </c>
    </row>
    <row r="112" spans="1:10" x14ac:dyDescent="0.35">
      <c r="F112" s="10"/>
      <c r="G112" s="10"/>
      <c r="H112" s="10"/>
      <c r="I112" s="10"/>
      <c r="J112" s="10"/>
    </row>
    <row r="113" spans="3:10" x14ac:dyDescent="0.35">
      <c r="C113" t="s">
        <v>101</v>
      </c>
      <c r="E113" s="11">
        <f>INDEX(R55:R57,C98)</f>
        <v>0</v>
      </c>
      <c r="F113" s="11">
        <f>E113</f>
        <v>0</v>
      </c>
      <c r="G113" s="11">
        <f>F113</f>
        <v>0</v>
      </c>
      <c r="H113" s="11">
        <f>G113</f>
        <v>0</v>
      </c>
      <c r="I113" s="11">
        <f>H113</f>
        <v>0</v>
      </c>
      <c r="J113" s="11">
        <f>I113</f>
        <v>0</v>
      </c>
    </row>
    <row r="114" spans="3:10" x14ac:dyDescent="0.35">
      <c r="C114" t="s">
        <v>102</v>
      </c>
      <c r="F114" s="10">
        <f>F113*F107</f>
        <v>0</v>
      </c>
      <c r="G114" s="10">
        <f>G113*G107</f>
        <v>0</v>
      </c>
      <c r="H114" s="10">
        <f>H113*H107</f>
        <v>0</v>
      </c>
      <c r="I114" s="10">
        <f>I113*I107</f>
        <v>0</v>
      </c>
      <c r="J114" s="10">
        <f>J113*J107</f>
        <v>0</v>
      </c>
    </row>
    <row r="115" spans="3:10" x14ac:dyDescent="0.35">
      <c r="C115" t="s">
        <v>103</v>
      </c>
      <c r="E115" t="b">
        <f>INDEX(O55:O57,C98)</f>
        <v>0</v>
      </c>
      <c r="F115" s="10">
        <f>$E115*F114</f>
        <v>0</v>
      </c>
      <c r="G115" s="10">
        <f>$E115*G114</f>
        <v>0</v>
      </c>
      <c r="H115" s="10">
        <f>$E115*H114</f>
        <v>0</v>
      </c>
      <c r="I115" s="10">
        <f>$E115*I114</f>
        <v>0</v>
      </c>
      <c r="J115" s="10">
        <f>$E115*J114</f>
        <v>0</v>
      </c>
    </row>
    <row r="116" spans="3:10" x14ac:dyDescent="0.35">
      <c r="C116" t="s">
        <v>84</v>
      </c>
      <c r="F116" s="10">
        <f>F114-F115</f>
        <v>0</v>
      </c>
      <c r="G116" s="10">
        <f>G114-G115</f>
        <v>0</v>
      </c>
      <c r="H116" s="10">
        <f>H114-H115</f>
        <v>0</v>
      </c>
      <c r="I116" s="10">
        <f>I114-I115</f>
        <v>0</v>
      </c>
      <c r="J116" s="10">
        <f>J114-J115</f>
        <v>0</v>
      </c>
    </row>
    <row r="117" spans="3:10" x14ac:dyDescent="0.35">
      <c r="F117" s="10"/>
      <c r="G117" s="10"/>
      <c r="H117" s="10"/>
      <c r="I117" s="10"/>
      <c r="J117" s="10"/>
    </row>
    <row r="118" spans="3:10" x14ac:dyDescent="0.35">
      <c r="C118" t="s">
        <v>104</v>
      </c>
      <c r="E118" s="11">
        <f>INDEX(L55:L57,C98)</f>
        <v>0</v>
      </c>
      <c r="F118" s="11">
        <f t="shared" ref="F118:J119" si="1">E118</f>
        <v>0</v>
      </c>
      <c r="G118" s="11">
        <f t="shared" si="1"/>
        <v>0</v>
      </c>
      <c r="H118" s="11">
        <f t="shared" si="1"/>
        <v>0</v>
      </c>
      <c r="I118" s="11">
        <f t="shared" si="1"/>
        <v>0</v>
      </c>
      <c r="J118" s="11">
        <f t="shared" si="1"/>
        <v>0</v>
      </c>
    </row>
    <row r="119" spans="3:10" x14ac:dyDescent="0.35">
      <c r="C119" t="s">
        <v>105</v>
      </c>
      <c r="E119" s="10">
        <f>INDEX(K55:K57,C98)</f>
        <v>50</v>
      </c>
      <c r="F119" s="10">
        <f t="shared" si="1"/>
        <v>50</v>
      </c>
      <c r="G119" s="10">
        <f t="shared" si="1"/>
        <v>50</v>
      </c>
      <c r="H119" s="10">
        <f t="shared" si="1"/>
        <v>50</v>
      </c>
      <c r="I119" s="10">
        <f t="shared" si="1"/>
        <v>50</v>
      </c>
      <c r="J119" s="10">
        <f t="shared" si="1"/>
        <v>50</v>
      </c>
    </row>
    <row r="120" spans="3:10" x14ac:dyDescent="0.35">
      <c r="C120" t="s">
        <v>106</v>
      </c>
      <c r="F120" s="10">
        <f>F118*F119</f>
        <v>0</v>
      </c>
      <c r="G120" s="10">
        <f>G118*G119</f>
        <v>0</v>
      </c>
      <c r="H120" s="10">
        <f>H118*H119</f>
        <v>0</v>
      </c>
      <c r="I120" s="10">
        <f>I118*I119</f>
        <v>0</v>
      </c>
      <c r="J120" s="10">
        <f>J118*J119</f>
        <v>0</v>
      </c>
    </row>
    <row r="121" spans="3:10" x14ac:dyDescent="0.35">
      <c r="C121" t="s">
        <v>107</v>
      </c>
      <c r="E121" t="b">
        <f>INDEX(P55:P57,C98)</f>
        <v>0</v>
      </c>
      <c r="F121" s="10">
        <f>$E121*F120</f>
        <v>0</v>
      </c>
      <c r="G121" s="10">
        <f>$E121*G120</f>
        <v>0</v>
      </c>
      <c r="H121" s="10">
        <f>$E121*H120</f>
        <v>0</v>
      </c>
      <c r="I121" s="10">
        <f>$E121*I120</f>
        <v>0</v>
      </c>
      <c r="J121" s="10">
        <f>$E121*J120</f>
        <v>0</v>
      </c>
    </row>
    <row r="122" spans="3:10" x14ac:dyDescent="0.35">
      <c r="C122" t="s">
        <v>85</v>
      </c>
      <c r="F122" s="10">
        <f>F120-F121</f>
        <v>0</v>
      </c>
      <c r="G122" s="10">
        <f>G120-G121</f>
        <v>0</v>
      </c>
      <c r="H122" s="10">
        <f>H120-H121</f>
        <v>0</v>
      </c>
      <c r="I122" s="10">
        <f>I120-I121</f>
        <v>0</v>
      </c>
      <c r="J122" s="10">
        <f>J120-J121</f>
        <v>0</v>
      </c>
    </row>
    <row r="123" spans="3:10" x14ac:dyDescent="0.35">
      <c r="F123" s="10"/>
      <c r="G123" s="10"/>
      <c r="H123" s="10"/>
      <c r="I123" s="10"/>
      <c r="J123" s="10"/>
    </row>
    <row r="124" spans="3:10" x14ac:dyDescent="0.35">
      <c r="C124" t="s">
        <v>108</v>
      </c>
      <c r="F124" s="10">
        <f>E124+F121+F115</f>
        <v>0</v>
      </c>
      <c r="G124" s="10">
        <f>F124+G121+G115</f>
        <v>0</v>
      </c>
      <c r="H124" s="10">
        <f>G124+H121+H115</f>
        <v>0</v>
      </c>
      <c r="I124" s="10">
        <f>H124+I121+I115</f>
        <v>0</v>
      </c>
      <c r="J124" s="10">
        <f>I124+J121+J115</f>
        <v>0</v>
      </c>
    </row>
    <row r="125" spans="3:10" x14ac:dyDescent="0.35">
      <c r="F125" s="10"/>
      <c r="G125" s="10"/>
      <c r="H125" s="10"/>
      <c r="I125" s="10"/>
      <c r="J125" s="10"/>
    </row>
    <row r="126" spans="3:10" x14ac:dyDescent="0.35">
      <c r="C126" t="s">
        <v>109</v>
      </c>
      <c r="E126" s="10">
        <f>SUMPRODUCT(F115:J115*F88:J88)</f>
        <v>0</v>
      </c>
      <c r="F126" s="10"/>
      <c r="G126" s="10"/>
      <c r="H126" s="10"/>
      <c r="I126" s="10"/>
      <c r="J126" s="10"/>
    </row>
    <row r="127" spans="3:10" x14ac:dyDescent="0.35">
      <c r="C127" t="s">
        <v>110</v>
      </c>
      <c r="E127" s="10">
        <f>SUMPRODUCT(F121:J121*F88:J88)</f>
        <v>0</v>
      </c>
      <c r="F127" s="10"/>
      <c r="G127" s="10"/>
      <c r="H127" s="10"/>
      <c r="I127" s="10"/>
      <c r="J127" s="10"/>
    </row>
    <row r="128" spans="3:10" x14ac:dyDescent="0.35">
      <c r="F128" s="10"/>
      <c r="G128" s="10"/>
      <c r="H128" s="10"/>
      <c r="I128" s="10"/>
      <c r="J128" s="10"/>
    </row>
    <row r="129" spans="2:10" ht="15" thickBot="1" x14ac:dyDescent="0.4">
      <c r="B129" s="23" t="s">
        <v>111</v>
      </c>
      <c r="C129" s="23"/>
      <c r="D129" s="23"/>
      <c r="E129" s="23"/>
      <c r="F129" s="24">
        <f>F95-F108</f>
        <v>50</v>
      </c>
      <c r="G129" s="24">
        <f>G95-G108</f>
        <v>130</v>
      </c>
      <c r="H129" s="24">
        <f>H95-H108</f>
        <v>180</v>
      </c>
      <c r="I129" s="24">
        <f>I95-I108</f>
        <v>220</v>
      </c>
      <c r="J129" s="24">
        <f>J95-J108</f>
        <v>250</v>
      </c>
    </row>
    <row r="130" spans="2:10" x14ac:dyDescent="0.35">
      <c r="F130" s="10"/>
      <c r="G130" s="10"/>
      <c r="H130" s="10"/>
      <c r="I130" s="10"/>
      <c r="J130" s="10"/>
    </row>
    <row r="131" spans="2:10" x14ac:dyDescent="0.35">
      <c r="B131" t="s">
        <v>112</v>
      </c>
      <c r="F131" s="10"/>
      <c r="G131" s="10"/>
      <c r="H131" s="10"/>
      <c r="I131" s="10"/>
      <c r="J131" s="10"/>
    </row>
    <row r="132" spans="2:10" x14ac:dyDescent="0.35">
      <c r="B132">
        <v>2</v>
      </c>
      <c r="C132">
        <f>MATCH(B132,M55:M57,0)</f>
        <v>3</v>
      </c>
      <c r="D132" t="str">
        <f>INDEX(C55:C57,C132)</f>
        <v>Senior Debt</v>
      </c>
      <c r="F132" s="10"/>
      <c r="G132" s="10"/>
      <c r="H132" s="10"/>
      <c r="I132" s="10"/>
      <c r="J132" s="10"/>
    </row>
    <row r="133" spans="2:10" x14ac:dyDescent="0.35">
      <c r="C133" t="s">
        <v>113</v>
      </c>
      <c r="E133" s="10">
        <f>INDEX(F55:F57,C132)</f>
        <v>600</v>
      </c>
      <c r="F133" s="10">
        <f t="shared" ref="F133:J135" si="2">E133</f>
        <v>600</v>
      </c>
      <c r="G133" s="10">
        <f t="shared" si="2"/>
        <v>600</v>
      </c>
      <c r="H133" s="10">
        <f t="shared" si="2"/>
        <v>600</v>
      </c>
      <c r="I133" s="10">
        <f t="shared" si="2"/>
        <v>600</v>
      </c>
      <c r="J133" s="10">
        <f t="shared" si="2"/>
        <v>600</v>
      </c>
    </row>
    <row r="134" spans="2:10" x14ac:dyDescent="0.35">
      <c r="C134" t="s">
        <v>114</v>
      </c>
      <c r="E134" s="10">
        <v>168.34575000000001</v>
      </c>
      <c r="F134" s="10">
        <f t="shared" si="2"/>
        <v>168.34575000000001</v>
      </c>
      <c r="G134" s="10">
        <f t="shared" si="2"/>
        <v>168.34575000000001</v>
      </c>
      <c r="H134" s="10">
        <f t="shared" si="2"/>
        <v>168.34575000000001</v>
      </c>
      <c r="I134" s="10">
        <f t="shared" si="2"/>
        <v>168.34575000000001</v>
      </c>
      <c r="J134" s="10">
        <f t="shared" si="2"/>
        <v>168.34575000000001</v>
      </c>
    </row>
    <row r="135" spans="2:10" x14ac:dyDescent="0.35">
      <c r="C135" t="s">
        <v>115</v>
      </c>
      <c r="E135" s="10">
        <f>INDEX(K55:K57,C132)</f>
        <v>762.66560000000004</v>
      </c>
      <c r="F135" s="10">
        <f t="shared" si="2"/>
        <v>762.66560000000004</v>
      </c>
      <c r="G135" s="10">
        <f t="shared" si="2"/>
        <v>762.66560000000004</v>
      </c>
      <c r="H135" s="10">
        <f t="shared" si="2"/>
        <v>762.66560000000004</v>
      </c>
      <c r="I135" s="10">
        <f t="shared" si="2"/>
        <v>762.66560000000004</v>
      </c>
      <c r="J135" s="10">
        <f t="shared" si="2"/>
        <v>762.66560000000004</v>
      </c>
    </row>
    <row r="136" spans="2:10" x14ac:dyDescent="0.35">
      <c r="C136" t="s">
        <v>116</v>
      </c>
      <c r="F136" s="10">
        <f>F140</f>
        <v>0</v>
      </c>
      <c r="G136" s="10">
        <f>G140</f>
        <v>56</v>
      </c>
      <c r="H136" s="10">
        <f>H140</f>
        <v>197.6</v>
      </c>
      <c r="I136" s="10">
        <f>I140</f>
        <v>403.36</v>
      </c>
      <c r="J136" s="10">
        <f>J140</f>
        <v>669.69600000000003</v>
      </c>
    </row>
    <row r="137" spans="2:10" x14ac:dyDescent="0.35">
      <c r="C137" t="s">
        <v>97</v>
      </c>
      <c r="F137" s="10">
        <f>E158</f>
        <v>0</v>
      </c>
      <c r="G137" s="10">
        <f>F158</f>
        <v>6</v>
      </c>
      <c r="H137" s="10">
        <f>G158</f>
        <v>17.600000000000001</v>
      </c>
      <c r="I137" s="10">
        <f>H158</f>
        <v>43.36</v>
      </c>
      <c r="J137" s="10">
        <f>I158</f>
        <v>89.695999999999998</v>
      </c>
    </row>
    <row r="138" spans="2:10" x14ac:dyDescent="0.35">
      <c r="C138" t="s">
        <v>21</v>
      </c>
      <c r="F138" s="10">
        <f>MAX(F135-F136+F137,0)</f>
        <v>762.66560000000004</v>
      </c>
      <c r="G138" s="10">
        <f>MAX(G135-G136+G137,0)</f>
        <v>712.66560000000004</v>
      </c>
      <c r="H138" s="10">
        <f>MAX(H135-H136+H137,0)</f>
        <v>582.66560000000004</v>
      </c>
      <c r="I138" s="10">
        <f>MAX(I135-I136+I137,0)</f>
        <v>402.66560000000004</v>
      </c>
      <c r="J138" s="10">
        <f>MAX(J135-J136+J137,0)</f>
        <v>182.66560000000001</v>
      </c>
    </row>
    <row r="139" spans="2:10" x14ac:dyDescent="0.35">
      <c r="F139" s="10"/>
      <c r="G139" s="10"/>
      <c r="H139" s="10"/>
      <c r="I139" s="10"/>
      <c r="J139" s="10"/>
    </row>
    <row r="140" spans="2:10" ht="15" thickBot="1" x14ac:dyDescent="0.4">
      <c r="C140" t="s">
        <v>15</v>
      </c>
      <c r="F140" s="10">
        <f>D144</f>
        <v>0</v>
      </c>
      <c r="G140" s="10">
        <f>F144</f>
        <v>56</v>
      </c>
      <c r="H140" s="10">
        <f>G144</f>
        <v>197.6</v>
      </c>
      <c r="I140" s="10">
        <f>H144</f>
        <v>403.36</v>
      </c>
      <c r="J140" s="10">
        <f>I144</f>
        <v>669.69600000000003</v>
      </c>
    </row>
    <row r="141" spans="2:10" ht="15" thickBot="1" x14ac:dyDescent="0.4">
      <c r="C141" s="4" t="s">
        <v>117</v>
      </c>
      <c r="D141" s="5"/>
      <c r="E141" s="21">
        <f>SUM(F141:J141)</f>
        <v>762.66560000000004</v>
      </c>
      <c r="F141" s="21">
        <f>MIN(F129,F138)</f>
        <v>50</v>
      </c>
      <c r="G141" s="21">
        <f>MIN(G129,G138)</f>
        <v>130</v>
      </c>
      <c r="H141" s="21">
        <f>MIN(H129,H138)</f>
        <v>180</v>
      </c>
      <c r="I141" s="21">
        <f>MIN(I129,I138)</f>
        <v>220</v>
      </c>
      <c r="J141" s="22">
        <f>MIN(J129,J138)</f>
        <v>182.66560000000001</v>
      </c>
    </row>
    <row r="142" spans="2:10" x14ac:dyDescent="0.35">
      <c r="C142" t="s">
        <v>118</v>
      </c>
      <c r="E142" s="10">
        <f>E141+E162</f>
        <v>792.66560000000004</v>
      </c>
      <c r="F142" s="10">
        <f>F148</f>
        <v>0</v>
      </c>
      <c r="G142" s="10">
        <f>G148</f>
        <v>5.6000000000000005</v>
      </c>
      <c r="H142" s="10">
        <f>H148</f>
        <v>19.760000000000002</v>
      </c>
      <c r="I142" s="10">
        <f>I148</f>
        <v>40.336000000000006</v>
      </c>
      <c r="J142" s="10">
        <f>J148</f>
        <v>66.9696</v>
      </c>
    </row>
    <row r="143" spans="2:10" x14ac:dyDescent="0.35">
      <c r="C143" t="s">
        <v>119</v>
      </c>
      <c r="E143" s="10">
        <f>E142-E133</f>
        <v>192.66560000000004</v>
      </c>
      <c r="F143" s="10">
        <f>F155</f>
        <v>6</v>
      </c>
      <c r="G143" s="10">
        <f>G155</f>
        <v>6</v>
      </c>
      <c r="H143" s="10">
        <f>H155</f>
        <v>6</v>
      </c>
      <c r="I143" s="10">
        <f>I155</f>
        <v>6</v>
      </c>
      <c r="J143" s="10">
        <f>J155</f>
        <v>6</v>
      </c>
    </row>
    <row r="144" spans="2:10" x14ac:dyDescent="0.35">
      <c r="C144" t="s">
        <v>17</v>
      </c>
      <c r="F144" s="10">
        <f>F140+F141+F142+F143</f>
        <v>56</v>
      </c>
      <c r="G144" s="10">
        <f>G140+G141+G142+G143</f>
        <v>197.6</v>
      </c>
      <c r="H144" s="10">
        <f>H140+H141+H142+H143</f>
        <v>403.36</v>
      </c>
      <c r="I144" s="10">
        <f>I140+I141+I142+I143</f>
        <v>669.69600000000003</v>
      </c>
      <c r="J144" s="10">
        <f>J140+J141+J142+J143</f>
        <v>925.33120000000008</v>
      </c>
    </row>
    <row r="146" spans="3:10" x14ac:dyDescent="0.35">
      <c r="C146" t="s">
        <v>101</v>
      </c>
      <c r="F146" s="11">
        <f>R57</f>
        <v>0.1</v>
      </c>
      <c r="G146" s="11">
        <f>F146</f>
        <v>0.1</v>
      </c>
      <c r="H146" s="11">
        <f>G146</f>
        <v>0.1</v>
      </c>
      <c r="I146" s="11">
        <f>H146</f>
        <v>0.1</v>
      </c>
      <c r="J146" s="11">
        <f>I146</f>
        <v>0.1</v>
      </c>
    </row>
    <row r="147" spans="3:10" x14ac:dyDescent="0.35">
      <c r="C147" t="s">
        <v>102</v>
      </c>
      <c r="F147" s="10">
        <f>F146*F140</f>
        <v>0</v>
      </c>
      <c r="G147" s="10">
        <f>G146*G140</f>
        <v>5.6000000000000005</v>
      </c>
      <c r="H147" s="10">
        <f>H146*H140</f>
        <v>19.760000000000002</v>
      </c>
      <c r="I147" s="10">
        <f>I146*I140</f>
        <v>40.336000000000006</v>
      </c>
      <c r="J147" s="10">
        <f>J146*J140</f>
        <v>66.9696</v>
      </c>
    </row>
    <row r="148" spans="3:10" x14ac:dyDescent="0.35">
      <c r="C148" t="s">
        <v>120</v>
      </c>
      <c r="E148" t="b">
        <f>INDEX(O55:O57,C132)</f>
        <v>1</v>
      </c>
      <c r="F148" s="10">
        <f>$E148*F147</f>
        <v>0</v>
      </c>
      <c r="G148" s="10">
        <f>$E148*G147</f>
        <v>5.6000000000000005</v>
      </c>
      <c r="H148" s="10">
        <f>$E148*H147</f>
        <v>19.760000000000002</v>
      </c>
      <c r="I148" s="10">
        <f>$E148*I147</f>
        <v>40.336000000000006</v>
      </c>
      <c r="J148" s="10">
        <f>$E148*J147</f>
        <v>66.9696</v>
      </c>
    </row>
    <row r="149" spans="3:10" x14ac:dyDescent="0.35">
      <c r="C149" t="s">
        <v>84</v>
      </c>
      <c r="F149" s="10">
        <f>F147-F148</f>
        <v>0</v>
      </c>
      <c r="G149" s="10">
        <f>G147-G148</f>
        <v>0</v>
      </c>
      <c r="H149" s="10">
        <f>H147-H148</f>
        <v>0</v>
      </c>
      <c r="I149" s="10">
        <f>I147-I148</f>
        <v>0</v>
      </c>
      <c r="J149" s="10">
        <f>J147-J148</f>
        <v>0</v>
      </c>
    </row>
    <row r="150" spans="3:10" x14ac:dyDescent="0.35">
      <c r="C150" t="s">
        <v>121</v>
      </c>
      <c r="F150" s="10">
        <f>E150+F148</f>
        <v>0</v>
      </c>
      <c r="G150" s="10">
        <f>F150+G148</f>
        <v>5.6000000000000005</v>
      </c>
      <c r="H150" s="10">
        <f>G150+H148</f>
        <v>25.360000000000003</v>
      </c>
      <c r="I150" s="10">
        <f>H150+I148</f>
        <v>65.696000000000012</v>
      </c>
      <c r="J150" s="10">
        <f>I150+J148</f>
        <v>132.66560000000001</v>
      </c>
    </row>
    <row r="151" spans="3:10" x14ac:dyDescent="0.35">
      <c r="F151" s="11"/>
      <c r="G151" s="11"/>
      <c r="H151" s="11"/>
      <c r="I151" s="11"/>
      <c r="J151" s="11"/>
    </row>
    <row r="152" spans="3:10" x14ac:dyDescent="0.35">
      <c r="C152" t="s">
        <v>104</v>
      </c>
      <c r="E152" s="11">
        <f>INDEX(L55:L57,C132)</f>
        <v>0.02</v>
      </c>
      <c r="F152" s="11">
        <f>L56</f>
        <v>0.01</v>
      </c>
      <c r="G152" s="11">
        <f t="shared" ref="G152:J153" si="3">F152</f>
        <v>0.01</v>
      </c>
      <c r="H152" s="11">
        <f t="shared" si="3"/>
        <v>0.01</v>
      </c>
      <c r="I152" s="11">
        <f t="shared" si="3"/>
        <v>0.01</v>
      </c>
      <c r="J152" s="11">
        <f t="shared" si="3"/>
        <v>0.01</v>
      </c>
    </row>
    <row r="153" spans="3:10" x14ac:dyDescent="0.35">
      <c r="C153" t="s">
        <v>122</v>
      </c>
      <c r="E153" s="10">
        <f>E133</f>
        <v>600</v>
      </c>
      <c r="F153" s="10">
        <f>E153</f>
        <v>600</v>
      </c>
      <c r="G153" s="10">
        <f t="shared" si="3"/>
        <v>600</v>
      </c>
      <c r="H153" s="10">
        <f t="shared" si="3"/>
        <v>600</v>
      </c>
      <c r="I153" s="10">
        <f t="shared" si="3"/>
        <v>600</v>
      </c>
      <c r="J153" s="10">
        <f t="shared" si="3"/>
        <v>600</v>
      </c>
    </row>
    <row r="154" spans="3:10" x14ac:dyDescent="0.35">
      <c r="C154" t="s">
        <v>106</v>
      </c>
      <c r="F154" s="10">
        <f>F152*F153</f>
        <v>6</v>
      </c>
      <c r="G154" s="10">
        <f>G152*G153</f>
        <v>6</v>
      </c>
      <c r="H154" s="10">
        <f>H152*H153</f>
        <v>6</v>
      </c>
      <c r="I154" s="10">
        <f>I152*I153</f>
        <v>6</v>
      </c>
      <c r="J154" s="10">
        <f>J152*J153</f>
        <v>6</v>
      </c>
    </row>
    <row r="155" spans="3:10" x14ac:dyDescent="0.35">
      <c r="C155" t="s">
        <v>107</v>
      </c>
      <c r="E155" t="b">
        <f>INDEX(P55:P57,C132)</f>
        <v>1</v>
      </c>
      <c r="F155" s="10">
        <f>$E155*F154</f>
        <v>6</v>
      </c>
      <c r="G155" s="10">
        <f>$E155*G154</f>
        <v>6</v>
      </c>
      <c r="H155" s="10">
        <f>$E155*H154</f>
        <v>6</v>
      </c>
      <c r="I155" s="10">
        <f>$E155*I154</f>
        <v>6</v>
      </c>
      <c r="J155" s="10">
        <f>$E155*J154</f>
        <v>6</v>
      </c>
    </row>
    <row r="156" spans="3:10" x14ac:dyDescent="0.35">
      <c r="C156" t="s">
        <v>85</v>
      </c>
      <c r="F156" s="10">
        <f>F154-F155</f>
        <v>0</v>
      </c>
      <c r="G156" s="10">
        <f>G154-G155</f>
        <v>0</v>
      </c>
      <c r="H156" s="10">
        <f>H154-H155</f>
        <v>0</v>
      </c>
      <c r="I156" s="10">
        <f>I154-I155</f>
        <v>0</v>
      </c>
      <c r="J156" s="10">
        <f>J154-J155</f>
        <v>0</v>
      </c>
    </row>
    <row r="158" spans="3:10" x14ac:dyDescent="0.35">
      <c r="C158" t="s">
        <v>123</v>
      </c>
      <c r="F158" s="10">
        <f>E158+F142+F143</f>
        <v>6</v>
      </c>
      <c r="G158" s="10">
        <f>F158+G142+G143</f>
        <v>17.600000000000001</v>
      </c>
      <c r="H158" s="10">
        <f>G158+H142+H143</f>
        <v>43.36</v>
      </c>
      <c r="I158" s="10">
        <f>H158+I142+I143</f>
        <v>89.695999999999998</v>
      </c>
      <c r="J158" s="10">
        <f>I158+J142+J143</f>
        <v>162.66559999999998</v>
      </c>
    </row>
    <row r="159" spans="3:10" x14ac:dyDescent="0.35">
      <c r="C159" t="s">
        <v>124</v>
      </c>
      <c r="F159" s="10">
        <f>E159+F154</f>
        <v>6</v>
      </c>
      <c r="G159" s="10">
        <f>F159+G154</f>
        <v>12</v>
      </c>
      <c r="H159" s="10">
        <f>G159+H154</f>
        <v>18</v>
      </c>
      <c r="I159" s="10">
        <f>H159+I154</f>
        <v>24</v>
      </c>
      <c r="J159" s="10">
        <f>I159+J154</f>
        <v>30</v>
      </c>
    </row>
    <row r="160" spans="3:10" x14ac:dyDescent="0.35">
      <c r="F160" s="10"/>
      <c r="G160" s="10"/>
      <c r="H160" s="10"/>
      <c r="I160" s="10"/>
      <c r="J160" s="10"/>
    </row>
    <row r="161" spans="2:10" x14ac:dyDescent="0.35">
      <c r="C161" t="s">
        <v>125</v>
      </c>
      <c r="E161" s="10">
        <f>SUMPRODUCT(F148:J148*F88:J88)</f>
        <v>132.66560000000001</v>
      </c>
      <c r="G161" s="10"/>
      <c r="H161" s="10"/>
      <c r="I161" s="10"/>
      <c r="J161" s="10"/>
    </row>
    <row r="162" spans="2:10" x14ac:dyDescent="0.35">
      <c r="C162" t="s">
        <v>126</v>
      </c>
      <c r="E162" s="10">
        <f>SUMPRODUCT(F154:J154*F88:J88)</f>
        <v>30</v>
      </c>
      <c r="G162" s="10"/>
      <c r="H162" s="10"/>
      <c r="I162" s="10"/>
      <c r="J162" s="10"/>
    </row>
    <row r="163" spans="2:10" x14ac:dyDescent="0.35">
      <c r="C163" t="s">
        <v>127</v>
      </c>
      <c r="E163" s="10">
        <f>SUM(E161:E162)</f>
        <v>162.66560000000001</v>
      </c>
      <c r="G163" s="10"/>
      <c r="H163" s="10"/>
      <c r="I163" s="10"/>
      <c r="J163" s="10"/>
    </row>
    <row r="165" spans="2:10" ht="15" thickBot="1" x14ac:dyDescent="0.4">
      <c r="B165" s="23" t="s">
        <v>128</v>
      </c>
      <c r="C165" s="23"/>
      <c r="D165" s="23"/>
      <c r="E165" s="23"/>
      <c r="F165" s="24">
        <f>F129-F141</f>
        <v>0</v>
      </c>
      <c r="G165" s="24">
        <f>G129-G141</f>
        <v>0</v>
      </c>
      <c r="H165" s="24">
        <f>H129-H141</f>
        <v>0</v>
      </c>
      <c r="I165" s="24">
        <f>I129-I141</f>
        <v>0</v>
      </c>
      <c r="J165" s="24">
        <f>J129-J141</f>
        <v>67.334399999999988</v>
      </c>
    </row>
    <row r="167" spans="2:10" x14ac:dyDescent="0.35">
      <c r="B167" t="s">
        <v>129</v>
      </c>
    </row>
    <row r="168" spans="2:10" x14ac:dyDescent="0.35">
      <c r="B168">
        <v>3</v>
      </c>
      <c r="C168">
        <f>MATCH(B168,M55:M57,0)</f>
        <v>2</v>
      </c>
      <c r="D168" t="str">
        <f>INDEX(C55:C57,C168)</f>
        <v>Sub Debt</v>
      </c>
    </row>
    <row r="169" spans="2:10" x14ac:dyDescent="0.35">
      <c r="C169" t="s">
        <v>93</v>
      </c>
      <c r="E169" s="10">
        <f>INDEX(F55:F57,C168)</f>
        <v>67.33439999999996</v>
      </c>
      <c r="F169" s="10">
        <f t="shared" ref="F169:J171" si="4">E169</f>
        <v>67.33439999999996</v>
      </c>
      <c r="G169" s="10">
        <f t="shared" si="4"/>
        <v>67.33439999999996</v>
      </c>
      <c r="H169" s="10">
        <f t="shared" si="4"/>
        <v>67.33439999999996</v>
      </c>
      <c r="I169" s="10">
        <f t="shared" si="4"/>
        <v>67.33439999999996</v>
      </c>
      <c r="J169" s="10">
        <f t="shared" si="4"/>
        <v>67.33439999999996</v>
      </c>
    </row>
    <row r="170" spans="2:10" x14ac:dyDescent="0.35">
      <c r="C170" t="s">
        <v>94</v>
      </c>
      <c r="E170" s="10">
        <f>E196+E197</f>
        <v>3.7206506483999982</v>
      </c>
      <c r="F170" s="10">
        <f t="shared" si="4"/>
        <v>3.7206506483999982</v>
      </c>
      <c r="G170" s="10">
        <f t="shared" si="4"/>
        <v>3.7206506483999982</v>
      </c>
      <c r="H170" s="10">
        <f t="shared" si="4"/>
        <v>3.7206506483999982</v>
      </c>
      <c r="I170" s="10">
        <f t="shared" si="4"/>
        <v>3.7206506483999982</v>
      </c>
      <c r="J170" s="10">
        <f t="shared" si="4"/>
        <v>3.7206506483999982</v>
      </c>
    </row>
    <row r="171" spans="2:10" x14ac:dyDescent="0.35">
      <c r="C171" t="s">
        <v>95</v>
      </c>
      <c r="E171" s="10">
        <f>INDEX(K55:K57,C168)</f>
        <v>67.33439999999996</v>
      </c>
      <c r="F171" s="10">
        <f t="shared" si="4"/>
        <v>67.33439999999996</v>
      </c>
      <c r="G171" s="10">
        <f t="shared" si="4"/>
        <v>67.33439999999996</v>
      </c>
      <c r="H171" s="10">
        <f t="shared" si="4"/>
        <v>67.33439999999996</v>
      </c>
      <c r="I171" s="10">
        <f t="shared" si="4"/>
        <v>67.33439999999996</v>
      </c>
      <c r="J171" s="10">
        <f t="shared" si="4"/>
        <v>67.33439999999996</v>
      </c>
    </row>
    <row r="172" spans="2:10" x14ac:dyDescent="0.35">
      <c r="C172" t="s">
        <v>96</v>
      </c>
      <c r="F172" s="10">
        <f>F177</f>
        <v>0</v>
      </c>
      <c r="G172" s="10">
        <f>G177</f>
        <v>0.67334399999999961</v>
      </c>
      <c r="H172" s="10">
        <f>H177</f>
        <v>1.3803551999999992</v>
      </c>
      <c r="I172" s="10">
        <f>I177</f>
        <v>2.1227169599999987</v>
      </c>
      <c r="J172" s="10">
        <f>J177</f>
        <v>2.9021968079999985</v>
      </c>
    </row>
    <row r="173" spans="2:10" x14ac:dyDescent="0.35">
      <c r="C173" t="s">
        <v>97</v>
      </c>
      <c r="F173" s="10">
        <f>E194</f>
        <v>0</v>
      </c>
      <c r="G173" s="10">
        <f>F194</f>
        <v>0.67334399999999961</v>
      </c>
      <c r="H173" s="10">
        <f>G194</f>
        <v>1.3803551999999992</v>
      </c>
      <c r="I173" s="10">
        <f>H194</f>
        <v>2.1227169599999987</v>
      </c>
      <c r="J173" s="10">
        <f>I194</f>
        <v>2.9021968079999985</v>
      </c>
    </row>
    <row r="174" spans="2:10" x14ac:dyDescent="0.35">
      <c r="C174" t="s">
        <v>98</v>
      </c>
      <c r="F174" s="10">
        <f>MAX(F171-F172+F173,0)</f>
        <v>67.33439999999996</v>
      </c>
      <c r="G174" s="10">
        <f>MAX(G171-G172+G173,0)</f>
        <v>67.33439999999996</v>
      </c>
      <c r="H174" s="10">
        <f>MAX(H171-H172+H173,0)</f>
        <v>67.33439999999996</v>
      </c>
      <c r="I174" s="10">
        <f>MAX(I171-I172+I173,0)</f>
        <v>67.33439999999996</v>
      </c>
      <c r="J174" s="10">
        <f>MAX(J171-J172+J173,0)</f>
        <v>67.33439999999996</v>
      </c>
    </row>
    <row r="175" spans="2:10" x14ac:dyDescent="0.35">
      <c r="F175" s="10"/>
      <c r="G175" s="10"/>
      <c r="H175" s="10"/>
      <c r="I175" s="10"/>
      <c r="J175" s="10"/>
    </row>
    <row r="176" spans="2:10" x14ac:dyDescent="0.35">
      <c r="B176" t="str">
        <f>D168&amp;" Balance"</f>
        <v>Sub Debt Balance</v>
      </c>
      <c r="F176" s="10"/>
      <c r="G176" s="10"/>
      <c r="H176" s="10"/>
      <c r="I176" s="10"/>
      <c r="J176" s="10"/>
    </row>
    <row r="177" spans="3:14" ht="15" thickBot="1" x14ac:dyDescent="0.4">
      <c r="C177" t="s">
        <v>15</v>
      </c>
      <c r="F177" s="10">
        <f>E181</f>
        <v>0</v>
      </c>
      <c r="G177" s="10">
        <f>F181</f>
        <v>0.67334399999999961</v>
      </c>
      <c r="H177" s="10">
        <f>G181</f>
        <v>1.3803551999999992</v>
      </c>
      <c r="I177" s="10">
        <f>H181</f>
        <v>2.1227169599999987</v>
      </c>
      <c r="J177" s="10">
        <f>I181</f>
        <v>2.9021968079999985</v>
      </c>
    </row>
    <row r="178" spans="3:14" ht="15" thickBot="1" x14ac:dyDescent="0.4">
      <c r="C178" s="4" t="s">
        <v>26</v>
      </c>
      <c r="D178" s="5"/>
      <c r="E178" s="21">
        <f>SUM(F178:J178)</f>
        <v>67.33439999999996</v>
      </c>
      <c r="F178" s="21">
        <f>MIN(F174,F165)</f>
        <v>0</v>
      </c>
      <c r="G178" s="21">
        <f>MIN(G174,G165)</f>
        <v>0</v>
      </c>
      <c r="H178" s="21">
        <f>MIN(H174,H165)</f>
        <v>0</v>
      </c>
      <c r="I178" s="21">
        <f>MIN(I174,I165)</f>
        <v>0</v>
      </c>
      <c r="J178" s="22">
        <f>MIN(J174,J165)</f>
        <v>67.33439999999996</v>
      </c>
    </row>
    <row r="179" spans="3:14" x14ac:dyDescent="0.35">
      <c r="C179" t="s">
        <v>99</v>
      </c>
      <c r="F179" s="10">
        <f>F185</f>
        <v>0</v>
      </c>
      <c r="G179" s="10">
        <f>G185</f>
        <v>3.366719999999998E-2</v>
      </c>
      <c r="H179" s="10">
        <f>H185</f>
        <v>6.901775999999997E-2</v>
      </c>
      <c r="I179" s="10">
        <f>I185</f>
        <v>0.10613584799999994</v>
      </c>
      <c r="J179" s="10">
        <f>J185</f>
        <v>0.14510984039999994</v>
      </c>
      <c r="N179" t="s">
        <v>130</v>
      </c>
    </row>
    <row r="180" spans="3:14" x14ac:dyDescent="0.35">
      <c r="C180" t="s">
        <v>100</v>
      </c>
      <c r="F180" s="10">
        <f>F191</f>
        <v>0.67334399999999961</v>
      </c>
      <c r="G180" s="10">
        <f>G191</f>
        <v>0.67334399999999961</v>
      </c>
      <c r="H180" s="10">
        <f>H191</f>
        <v>0.67334399999999961</v>
      </c>
      <c r="I180" s="10">
        <f>I191</f>
        <v>0.67334399999999961</v>
      </c>
      <c r="J180" s="10">
        <f>J191</f>
        <v>0.67334399999999961</v>
      </c>
      <c r="N180" t="s">
        <v>131</v>
      </c>
    </row>
    <row r="181" spans="3:14" x14ac:dyDescent="0.35">
      <c r="C181" t="s">
        <v>17</v>
      </c>
      <c r="F181" s="10">
        <f>F177+F178+F179+F180</f>
        <v>0.67334399999999961</v>
      </c>
      <c r="G181" s="10">
        <f>G177+G178+G179+G180</f>
        <v>1.3803551999999992</v>
      </c>
      <c r="H181" s="10">
        <f>H177+H178+H179+H180</f>
        <v>2.1227169599999987</v>
      </c>
      <c r="I181" s="10">
        <f>I177+I178+I179+I180</f>
        <v>2.9021968079999985</v>
      </c>
      <c r="J181" s="10">
        <f>J177+J178+J179+J180</f>
        <v>71.055050648399956</v>
      </c>
      <c r="N181" t="s">
        <v>132</v>
      </c>
    </row>
    <row r="182" spans="3:14" x14ac:dyDescent="0.35">
      <c r="F182" s="10"/>
      <c r="G182" s="10"/>
      <c r="H182" s="10"/>
      <c r="I182" s="10"/>
      <c r="J182" s="10"/>
      <c r="N182" t="s">
        <v>132</v>
      </c>
    </row>
    <row r="183" spans="3:14" x14ac:dyDescent="0.35">
      <c r="C183" t="s">
        <v>101</v>
      </c>
      <c r="E183" s="11">
        <f>INDEX(R55:R57,C168)</f>
        <v>0.05</v>
      </c>
      <c r="F183" s="11">
        <f>E183</f>
        <v>0.05</v>
      </c>
      <c r="G183" s="11">
        <f>F183</f>
        <v>0.05</v>
      </c>
      <c r="H183" s="11">
        <f>G183</f>
        <v>0.05</v>
      </c>
      <c r="I183" s="11">
        <f>H183</f>
        <v>0.05</v>
      </c>
      <c r="J183" s="11">
        <f>I183</f>
        <v>0.05</v>
      </c>
      <c r="N183" t="s">
        <v>133</v>
      </c>
    </row>
    <row r="184" spans="3:14" x14ac:dyDescent="0.35">
      <c r="C184" t="s">
        <v>102</v>
      </c>
      <c r="F184" s="10">
        <f>F183*F177</f>
        <v>0</v>
      </c>
      <c r="G184" s="10">
        <f>G183*G177</f>
        <v>3.366719999999998E-2</v>
      </c>
      <c r="H184" s="10">
        <f>H183*H177</f>
        <v>6.901775999999997E-2</v>
      </c>
      <c r="I184" s="10">
        <f>I183*I177</f>
        <v>0.10613584799999994</v>
      </c>
      <c r="J184" s="10">
        <f>J183*J177</f>
        <v>0.14510984039999994</v>
      </c>
      <c r="N184" t="s">
        <v>134</v>
      </c>
    </row>
    <row r="185" spans="3:14" x14ac:dyDescent="0.35">
      <c r="C185" t="s">
        <v>103</v>
      </c>
      <c r="E185" t="b">
        <f>INDEX(O55:O57,C168)</f>
        <v>1</v>
      </c>
      <c r="F185" s="10">
        <f>$E185*F184</f>
        <v>0</v>
      </c>
      <c r="G185" s="10">
        <f>$E185*G184</f>
        <v>3.366719999999998E-2</v>
      </c>
      <c r="H185" s="10">
        <f>$E185*H184</f>
        <v>6.901775999999997E-2</v>
      </c>
      <c r="I185" s="10">
        <f>$E185*I184</f>
        <v>0.10613584799999994</v>
      </c>
      <c r="J185" s="10">
        <f>$E185*J184</f>
        <v>0.14510984039999994</v>
      </c>
      <c r="N185" t="s">
        <v>135</v>
      </c>
    </row>
    <row r="186" spans="3:14" x14ac:dyDescent="0.35">
      <c r="C186" t="s">
        <v>84</v>
      </c>
      <c r="F186" s="10">
        <f>F184-F185</f>
        <v>0</v>
      </c>
      <c r="G186" s="10">
        <f>G184-G185</f>
        <v>0</v>
      </c>
      <c r="H186" s="10">
        <f>H184-H185</f>
        <v>0</v>
      </c>
      <c r="I186" s="10">
        <f>I184-I185</f>
        <v>0</v>
      </c>
      <c r="J186" s="10">
        <f>J184-J185</f>
        <v>0</v>
      </c>
    </row>
    <row r="187" spans="3:14" x14ac:dyDescent="0.35">
      <c r="F187" s="10"/>
      <c r="G187" s="10"/>
      <c r="H187" s="10"/>
      <c r="I187" s="10"/>
      <c r="J187" s="10"/>
    </row>
    <row r="188" spans="3:14" x14ac:dyDescent="0.35">
      <c r="C188" t="s">
        <v>104</v>
      </c>
      <c r="E188" s="11">
        <f>INDEX(L55:L57,C168)</f>
        <v>0.01</v>
      </c>
      <c r="F188" s="11">
        <f t="shared" ref="F188:J189" si="5">E188</f>
        <v>0.01</v>
      </c>
      <c r="G188" s="11">
        <f t="shared" si="5"/>
        <v>0.01</v>
      </c>
      <c r="H188" s="11">
        <f t="shared" si="5"/>
        <v>0.01</v>
      </c>
      <c r="I188" s="11">
        <f t="shared" si="5"/>
        <v>0.01</v>
      </c>
      <c r="J188" s="11">
        <f t="shared" si="5"/>
        <v>0.01</v>
      </c>
    </row>
    <row r="189" spans="3:14" x14ac:dyDescent="0.35">
      <c r="C189" t="s">
        <v>105</v>
      </c>
      <c r="E189" s="10">
        <f>E169</f>
        <v>67.33439999999996</v>
      </c>
      <c r="F189" s="10">
        <f t="shared" si="5"/>
        <v>67.33439999999996</v>
      </c>
      <c r="G189" s="10">
        <f t="shared" si="5"/>
        <v>67.33439999999996</v>
      </c>
      <c r="H189" s="10">
        <f t="shared" si="5"/>
        <v>67.33439999999996</v>
      </c>
      <c r="I189" s="10">
        <f t="shared" si="5"/>
        <v>67.33439999999996</v>
      </c>
      <c r="J189" s="10">
        <f t="shared" si="5"/>
        <v>67.33439999999996</v>
      </c>
    </row>
    <row r="190" spans="3:14" x14ac:dyDescent="0.35">
      <c r="C190" t="s">
        <v>106</v>
      </c>
      <c r="F190" s="10">
        <f>F188*F189</f>
        <v>0.67334399999999961</v>
      </c>
      <c r="G190" s="10">
        <f>G188*G189</f>
        <v>0.67334399999999961</v>
      </c>
      <c r="H190" s="10">
        <f>H188*H189</f>
        <v>0.67334399999999961</v>
      </c>
      <c r="I190" s="10">
        <f>I188*I189</f>
        <v>0.67334399999999961</v>
      </c>
      <c r="J190" s="10">
        <f>J188*J189</f>
        <v>0.67334399999999961</v>
      </c>
    </row>
    <row r="191" spans="3:14" x14ac:dyDescent="0.35">
      <c r="C191" t="s">
        <v>107</v>
      </c>
      <c r="E191" t="b">
        <f>INDEX(P55:P57,C168)</f>
        <v>1</v>
      </c>
      <c r="F191" s="10">
        <f>$E191*F190</f>
        <v>0.67334399999999961</v>
      </c>
      <c r="G191" s="10">
        <f>$E191*G190</f>
        <v>0.67334399999999961</v>
      </c>
      <c r="H191" s="10">
        <f>$E191*H190</f>
        <v>0.67334399999999961</v>
      </c>
      <c r="I191" s="10">
        <f>$E191*I190</f>
        <v>0.67334399999999961</v>
      </c>
      <c r="J191" s="10">
        <f>$E191*J190</f>
        <v>0.67334399999999961</v>
      </c>
    </row>
    <row r="192" spans="3:14" x14ac:dyDescent="0.35">
      <c r="C192" t="s">
        <v>85</v>
      </c>
      <c r="F192" s="10">
        <f>F190-F191</f>
        <v>0</v>
      </c>
      <c r="G192" s="10">
        <f>G190-G191</f>
        <v>0</v>
      </c>
      <c r="H192" s="10">
        <f>H190-H191</f>
        <v>0</v>
      </c>
      <c r="I192" s="10">
        <f>I190-I191</f>
        <v>0</v>
      </c>
      <c r="J192" s="10">
        <f>J190-J191</f>
        <v>0</v>
      </c>
    </row>
    <row r="193" spans="2:10" x14ac:dyDescent="0.35">
      <c r="F193" s="10"/>
      <c r="G193" s="10"/>
      <c r="H193" s="10"/>
      <c r="I193" s="10"/>
      <c r="J193" s="10"/>
    </row>
    <row r="194" spans="2:10" x14ac:dyDescent="0.35">
      <c r="C194" t="s">
        <v>108</v>
      </c>
      <c r="F194" s="10">
        <f>E194+F191+F185</f>
        <v>0.67334399999999961</v>
      </c>
      <c r="G194" s="10">
        <f>F194+G191+G185</f>
        <v>1.3803551999999992</v>
      </c>
      <c r="H194" s="10">
        <f>G194+H191+H185</f>
        <v>2.1227169599999987</v>
      </c>
      <c r="I194" s="10">
        <f>H194+I191+I185</f>
        <v>2.9021968079999985</v>
      </c>
      <c r="J194" s="10">
        <f>I194+J191+J185</f>
        <v>3.7206506483999982</v>
      </c>
    </row>
    <row r="195" spans="2:10" x14ac:dyDescent="0.35">
      <c r="F195" s="10"/>
      <c r="G195" s="10"/>
      <c r="H195" s="10"/>
      <c r="I195" s="10"/>
      <c r="J195" s="10"/>
    </row>
    <row r="196" spans="2:10" x14ac:dyDescent="0.35">
      <c r="C196" t="s">
        <v>109</v>
      </c>
      <c r="E196" s="10">
        <f>SUMPRODUCT(F185:J185*F88:J88)</f>
        <v>0.35393064839999983</v>
      </c>
      <c r="F196" s="10"/>
      <c r="G196" s="10"/>
      <c r="H196" s="10"/>
      <c r="I196" s="10"/>
      <c r="J196" s="10"/>
    </row>
    <row r="197" spans="2:10" x14ac:dyDescent="0.35">
      <c r="C197" t="s">
        <v>110</v>
      </c>
      <c r="E197" s="10">
        <f>SUMPRODUCT(F191:J191*F88:J88)</f>
        <v>3.3667199999999982</v>
      </c>
      <c r="F197" s="10"/>
      <c r="G197" s="10"/>
      <c r="H197" s="10"/>
      <c r="I197" s="10"/>
      <c r="J197" s="10"/>
    </row>
    <row r="199" spans="2:10" x14ac:dyDescent="0.35">
      <c r="B199" t="s">
        <v>136</v>
      </c>
    </row>
    <row r="200" spans="2:10" x14ac:dyDescent="0.35">
      <c r="C200" t="s">
        <v>82</v>
      </c>
      <c r="F200">
        <f>F16</f>
        <v>100</v>
      </c>
      <c r="G200">
        <f>G16</f>
        <v>130</v>
      </c>
      <c r="H200">
        <f>H16</f>
        <v>180</v>
      </c>
      <c r="I200">
        <f>I16</f>
        <v>220</v>
      </c>
      <c r="J200">
        <f>J16</f>
        <v>250</v>
      </c>
    </row>
    <row r="201" spans="2:10" x14ac:dyDescent="0.35">
      <c r="C201" t="s">
        <v>137</v>
      </c>
      <c r="F201" s="10">
        <f>F114+F147+F184</f>
        <v>0</v>
      </c>
      <c r="G201" s="10">
        <f>G114+G147+G184</f>
        <v>5.6336672000000005</v>
      </c>
      <c r="H201" s="10">
        <f>H114+H147+H184</f>
        <v>19.829017760000003</v>
      </c>
      <c r="I201" s="10">
        <f>I114+I147+I184</f>
        <v>40.442135848000007</v>
      </c>
      <c r="J201" s="10">
        <f>J114+J147+J184</f>
        <v>67.114709840399996</v>
      </c>
    </row>
    <row r="202" spans="2:10" x14ac:dyDescent="0.35">
      <c r="C202" t="s">
        <v>138</v>
      </c>
      <c r="F202" s="10">
        <f>F120+F154+F190</f>
        <v>6.6733439999999993</v>
      </c>
      <c r="G202" s="10">
        <f>G120+G154+G190</f>
        <v>6.6733439999999993</v>
      </c>
      <c r="H202" s="10">
        <f>H120+H154+H190</f>
        <v>6.6733439999999993</v>
      </c>
      <c r="I202" s="10">
        <f>I120+I154+I190</f>
        <v>6.6733439999999993</v>
      </c>
      <c r="J202" s="10">
        <f>J120+J154+J190</f>
        <v>6.6733439999999993</v>
      </c>
    </row>
    <row r="203" spans="2:10" x14ac:dyDescent="0.35">
      <c r="C203" t="s">
        <v>139</v>
      </c>
    </row>
    <row r="204" spans="2:10" ht="15" thickBot="1" x14ac:dyDescent="0.4">
      <c r="D204" s="23" t="s">
        <v>4</v>
      </c>
      <c r="E204" s="23"/>
      <c r="F204" s="24">
        <f>SUM(F200:F203)</f>
        <v>106.673344</v>
      </c>
      <c r="G204" s="24">
        <f>SUM(G200:G203)</f>
        <v>142.30701119999998</v>
      </c>
      <c r="H204" s="24">
        <f>SUM(H200:H203)</f>
        <v>206.50236175999999</v>
      </c>
      <c r="I204" s="24">
        <f>SUM(I200:I203)</f>
        <v>267.11547984800001</v>
      </c>
      <c r="J204" s="24">
        <f>SUM(J200:J203)</f>
        <v>323.78805384039998</v>
      </c>
    </row>
    <row r="206" spans="2:10" x14ac:dyDescent="0.35">
      <c r="B206" t="s">
        <v>140</v>
      </c>
    </row>
    <row r="207" spans="2:10" x14ac:dyDescent="0.35">
      <c r="C207" t="str">
        <f>D98</f>
        <v>Equity</v>
      </c>
      <c r="F207" s="10">
        <f>F108</f>
        <v>50</v>
      </c>
      <c r="G207" s="10">
        <f>G108</f>
        <v>0</v>
      </c>
      <c r="H207" s="10">
        <f>H108</f>
        <v>0</v>
      </c>
      <c r="I207" s="10">
        <f>I108</f>
        <v>0</v>
      </c>
      <c r="J207" s="10">
        <f>J108</f>
        <v>0</v>
      </c>
    </row>
    <row r="208" spans="2:10" x14ac:dyDescent="0.35">
      <c r="C208" t="str">
        <f>D132</f>
        <v>Senior Debt</v>
      </c>
      <c r="F208" s="10">
        <f>F141</f>
        <v>50</v>
      </c>
      <c r="G208" s="10">
        <f>G141</f>
        <v>130</v>
      </c>
      <c r="H208" s="10">
        <f>H141</f>
        <v>180</v>
      </c>
      <c r="I208" s="10">
        <f>I141</f>
        <v>220</v>
      </c>
      <c r="J208" s="10">
        <f>J141</f>
        <v>182.66560000000001</v>
      </c>
    </row>
    <row r="209" spans="1:17" x14ac:dyDescent="0.35">
      <c r="C209" t="str">
        <f>D168</f>
        <v>Sub Debt</v>
      </c>
      <c r="F209" s="10">
        <f>F178</f>
        <v>0</v>
      </c>
      <c r="G209" s="10">
        <f>G178</f>
        <v>0</v>
      </c>
      <c r="H209" s="10">
        <f>H178</f>
        <v>0</v>
      </c>
      <c r="I209" s="10">
        <f>I178</f>
        <v>0</v>
      </c>
      <c r="J209" s="10">
        <f>J178</f>
        <v>67.33439999999996</v>
      </c>
    </row>
    <row r="210" spans="1:17" x14ac:dyDescent="0.35">
      <c r="C210" t="str">
        <f>C207&amp;" Capitalised Interest and Fees"</f>
        <v>Equity Capitalised Interest and Fees</v>
      </c>
      <c r="F210" s="10">
        <f>F115+F121</f>
        <v>0</v>
      </c>
      <c r="G210" s="10">
        <f>G115+G121</f>
        <v>0</v>
      </c>
      <c r="H210" s="10">
        <f>H115+H121</f>
        <v>0</v>
      </c>
      <c r="I210" s="10">
        <f>I115+I121</f>
        <v>0</v>
      </c>
      <c r="J210" s="10">
        <f>J115+J121</f>
        <v>0</v>
      </c>
    </row>
    <row r="211" spans="1:17" x14ac:dyDescent="0.35">
      <c r="C211" t="str">
        <f>C208&amp;" Capitalised Interest and Fees"</f>
        <v>Senior Debt Capitalised Interest and Fees</v>
      </c>
      <c r="F211" s="10">
        <f>F148+F155</f>
        <v>6</v>
      </c>
      <c r="G211" s="10">
        <f>G148+G155</f>
        <v>11.600000000000001</v>
      </c>
      <c r="H211" s="10">
        <f>H148+H155</f>
        <v>25.76</v>
      </c>
      <c r="I211" s="10">
        <f>I148+I155</f>
        <v>46.336000000000006</v>
      </c>
      <c r="J211" s="10">
        <f>J148+J155</f>
        <v>72.9696</v>
      </c>
    </row>
    <row r="212" spans="1:17" x14ac:dyDescent="0.35">
      <c r="C212" t="str">
        <f>C209&amp;" Capitalised Interest and Fees"</f>
        <v>Sub Debt Capitalised Interest and Fees</v>
      </c>
      <c r="F212" s="10">
        <f>F185+F191</f>
        <v>0.67334399999999961</v>
      </c>
      <c r="G212" s="10">
        <f>G185+G191</f>
        <v>0.70701119999999962</v>
      </c>
      <c r="H212" s="10">
        <f>H185+H191</f>
        <v>0.74236175999999954</v>
      </c>
      <c r="I212" s="10">
        <f>I185+I191</f>
        <v>0.77947984799999959</v>
      </c>
      <c r="J212" s="10">
        <f>J185+J191</f>
        <v>0.81845384039999958</v>
      </c>
    </row>
    <row r="213" spans="1:17" ht="15" thickBot="1" x14ac:dyDescent="0.4">
      <c r="D213" s="23" t="s">
        <v>4</v>
      </c>
      <c r="E213" s="23"/>
      <c r="F213" s="24">
        <f>SUM(F207:F212)</f>
        <v>106.673344</v>
      </c>
      <c r="G213" s="24">
        <f>SUM(G207:G212)</f>
        <v>142.30701120000001</v>
      </c>
      <c r="H213" s="24">
        <f>SUM(H207:H212)</f>
        <v>206.50236175999999</v>
      </c>
      <c r="I213" s="24">
        <f>SUM(I207:I212)</f>
        <v>267.11547984800001</v>
      </c>
      <c r="J213" s="24">
        <f>SUM(J207:J212)</f>
        <v>323.78805384039998</v>
      </c>
    </row>
    <row r="216" spans="1:17" s="7" customFormat="1" x14ac:dyDescent="0.35"/>
    <row r="217" spans="1:17" x14ac:dyDescent="0.35">
      <c r="A217" t="s">
        <v>141</v>
      </c>
    </row>
    <row r="218" spans="1:17" x14ac:dyDescent="0.35">
      <c r="E218" s="8" t="s">
        <v>28</v>
      </c>
      <c r="F218" s="8"/>
      <c r="G218" s="8" t="s">
        <v>31</v>
      </c>
      <c r="H218" s="8"/>
      <c r="I218" s="8"/>
      <c r="J218" s="8" t="s">
        <v>32</v>
      </c>
      <c r="K218" s="8" t="s">
        <v>33</v>
      </c>
      <c r="L218" s="8" t="s">
        <v>34</v>
      </c>
      <c r="M218" s="8" t="s">
        <v>35</v>
      </c>
      <c r="N218" s="8" t="s">
        <v>35</v>
      </c>
      <c r="O218" s="8" t="s">
        <v>36</v>
      </c>
      <c r="P218" s="8"/>
      <c r="Q218" s="8"/>
    </row>
    <row r="219" spans="1:17" x14ac:dyDescent="0.35">
      <c r="E219" s="8" t="s">
        <v>37</v>
      </c>
      <c r="F219" s="8" t="s">
        <v>4</v>
      </c>
      <c r="G219" s="8" t="s">
        <v>39</v>
      </c>
      <c r="H219" s="8" t="s">
        <v>40</v>
      </c>
      <c r="I219" s="8" t="s">
        <v>41</v>
      </c>
      <c r="J219" s="8" t="s">
        <v>42</v>
      </c>
      <c r="K219" s="8" t="s">
        <v>43</v>
      </c>
      <c r="L219" s="8" t="s">
        <v>44</v>
      </c>
      <c r="M219" s="8" t="s">
        <v>39</v>
      </c>
      <c r="N219" s="8" t="s">
        <v>32</v>
      </c>
      <c r="O219" s="8" t="s">
        <v>45</v>
      </c>
      <c r="P219" s="8" t="s">
        <v>39</v>
      </c>
      <c r="Q219" s="8" t="s">
        <v>46</v>
      </c>
    </row>
    <row r="220" spans="1:17" x14ac:dyDescent="0.35">
      <c r="B220" t="s">
        <v>0</v>
      </c>
      <c r="E220" s="8" t="s">
        <v>47</v>
      </c>
      <c r="F220" s="8" t="s">
        <v>37</v>
      </c>
      <c r="G220" s="8" t="s">
        <v>48</v>
      </c>
      <c r="H220" s="8" t="s">
        <v>48</v>
      </c>
      <c r="I220" s="8" t="s">
        <v>37</v>
      </c>
      <c r="J220" s="8" t="s">
        <v>49</v>
      </c>
      <c r="K220" s="8" t="s">
        <v>50</v>
      </c>
      <c r="L220" s="8" t="s">
        <v>51</v>
      </c>
      <c r="M220" s="8" t="s">
        <v>52</v>
      </c>
      <c r="N220" s="8" t="s">
        <v>52</v>
      </c>
      <c r="O220" s="8" t="s">
        <v>53</v>
      </c>
      <c r="P220" s="8" t="s">
        <v>54</v>
      </c>
      <c r="Q220" s="8" t="s">
        <v>55</v>
      </c>
    </row>
    <row r="221" spans="1:17" x14ac:dyDescent="0.35">
      <c r="C221" t="s">
        <v>1</v>
      </c>
      <c r="E221" t="b">
        <v>0</v>
      </c>
      <c r="F221" s="9">
        <v>50</v>
      </c>
      <c r="G221" s="10">
        <f>CHOOSE(K221,E273,E299,E326)</f>
        <v>0</v>
      </c>
      <c r="H221" s="10"/>
      <c r="I221" s="10">
        <f>F221</f>
        <v>50</v>
      </c>
      <c r="J221" s="11"/>
      <c r="K221">
        <v>1</v>
      </c>
      <c r="M221" t="b">
        <v>0</v>
      </c>
      <c r="O221" s="11">
        <v>0.05</v>
      </c>
      <c r="P221" s="11">
        <v>0</v>
      </c>
      <c r="Q221" t="b">
        <v>0</v>
      </c>
    </row>
    <row r="222" spans="1:17" ht="15" thickBot="1" x14ac:dyDescent="0.4">
      <c r="C222" t="s">
        <v>56</v>
      </c>
      <c r="E222" t="b">
        <v>1</v>
      </c>
      <c r="F222" s="25">
        <f>F225-F221-F223</f>
        <v>317.96528539752478</v>
      </c>
      <c r="G222" s="10">
        <f>CHOOSE(K222,E273,E300,E326)</f>
        <v>78.684788357447431</v>
      </c>
      <c r="H222" s="10"/>
      <c r="I222" s="10">
        <f>I225-I221-I223</f>
        <v>239.28470646403537</v>
      </c>
      <c r="J222" s="11"/>
      <c r="K222">
        <v>2</v>
      </c>
      <c r="M222" t="b">
        <v>1</v>
      </c>
      <c r="O222" s="11">
        <v>0.85</v>
      </c>
      <c r="P222" s="11">
        <v>0.05</v>
      </c>
      <c r="Q222" t="b">
        <v>1</v>
      </c>
    </row>
    <row r="223" spans="1:17" ht="15" thickBot="1" x14ac:dyDescent="0.4">
      <c r="C223" t="s">
        <v>57</v>
      </c>
      <c r="E223" t="b">
        <v>0</v>
      </c>
      <c r="F223" s="13">
        <f>E350</f>
        <v>638.06971460247519</v>
      </c>
      <c r="G223" s="10">
        <f>CHOOSE(K223,E273,E299,E326)</f>
        <v>47.35021164255258</v>
      </c>
      <c r="H223" s="10"/>
      <c r="I223" s="14">
        <f>F230</f>
        <v>590.71529353596463</v>
      </c>
      <c r="J223" s="11"/>
      <c r="K223">
        <v>3</v>
      </c>
      <c r="L223">
        <v>1.3</v>
      </c>
      <c r="M223" t="b">
        <v>1</v>
      </c>
      <c r="O223" s="11">
        <v>0.05</v>
      </c>
      <c r="P223" s="11">
        <v>0.1</v>
      </c>
      <c r="Q223" t="b">
        <v>0</v>
      </c>
    </row>
    <row r="225" spans="1:9" x14ac:dyDescent="0.35">
      <c r="F225" s="10">
        <f>I225+G225</f>
        <v>1006.035</v>
      </c>
      <c r="G225" s="10">
        <f>SUM(G221:G223)</f>
        <v>126.03500000000001</v>
      </c>
      <c r="H225" s="10"/>
      <c r="I225" s="10">
        <f>F236</f>
        <v>880</v>
      </c>
    </row>
    <row r="226" spans="1:9" x14ac:dyDescent="0.35">
      <c r="F226" s="10"/>
      <c r="G226" s="10"/>
      <c r="H226" s="10"/>
      <c r="I226" s="10"/>
    </row>
    <row r="227" spans="1:9" x14ac:dyDescent="0.35">
      <c r="C227" t="s">
        <v>59</v>
      </c>
      <c r="F227" s="10">
        <v>200</v>
      </c>
      <c r="G227" s="10" t="s">
        <v>142</v>
      </c>
      <c r="H227" s="10"/>
      <c r="I227" s="10"/>
    </row>
    <row r="229" spans="1:9" x14ac:dyDescent="0.35">
      <c r="C229" t="s">
        <v>74</v>
      </c>
      <c r="F229" s="10">
        <f>F223-G223</f>
        <v>590.71950295992258</v>
      </c>
      <c r="G229" t="s">
        <v>143</v>
      </c>
      <c r="I229" s="10"/>
    </row>
    <row r="230" spans="1:9" x14ac:dyDescent="0.35">
      <c r="C230" t="s">
        <v>76</v>
      </c>
      <c r="F230" s="16">
        <v>590.71529353596463</v>
      </c>
      <c r="G230" t="s">
        <v>144</v>
      </c>
    </row>
    <row r="231" spans="1:9" x14ac:dyDescent="0.35">
      <c r="C231" t="s">
        <v>6</v>
      </c>
      <c r="F231" s="17">
        <f>F229-F230</f>
        <v>4.2094239579455461E-3</v>
      </c>
      <c r="G231" t="s">
        <v>145</v>
      </c>
    </row>
    <row r="233" spans="1:9" x14ac:dyDescent="0.35">
      <c r="C233" t="s">
        <v>79</v>
      </c>
      <c r="F233" s="10">
        <f>ROUND(sr_diff,2)</f>
        <v>0</v>
      </c>
      <c r="G233" t="s">
        <v>146</v>
      </c>
    </row>
    <row r="235" spans="1:9" x14ac:dyDescent="0.35">
      <c r="A235" t="s">
        <v>81</v>
      </c>
      <c r="B235" t="s">
        <v>5</v>
      </c>
    </row>
    <row r="236" spans="1:9" x14ac:dyDescent="0.35">
      <c r="C236" t="s">
        <v>82</v>
      </c>
      <c r="F236" s="10">
        <f>SUMPRODUCT(F244:J244*F247:J247)</f>
        <v>880</v>
      </c>
    </row>
    <row r="237" spans="1:9" x14ac:dyDescent="0.35">
      <c r="C237" t="s">
        <v>83</v>
      </c>
    </row>
    <row r="238" spans="1:9" x14ac:dyDescent="0.35">
      <c r="C238" t="s">
        <v>84</v>
      </c>
      <c r="F238" s="10"/>
    </row>
    <row r="239" spans="1:9" x14ac:dyDescent="0.35">
      <c r="C239" t="s">
        <v>4</v>
      </c>
      <c r="F239" s="10">
        <f>SUM(F236:F238)</f>
        <v>880</v>
      </c>
    </row>
    <row r="241" spans="1:10" x14ac:dyDescent="0.35">
      <c r="B241" t="s">
        <v>7</v>
      </c>
    </row>
    <row r="242" spans="1:10" x14ac:dyDescent="0.35">
      <c r="C242" t="s">
        <v>8</v>
      </c>
      <c r="F242">
        <f>G242-1</f>
        <v>-4</v>
      </c>
      <c r="G242">
        <f>H242-1</f>
        <v>-3</v>
      </c>
      <c r="H242">
        <f>I242-1</f>
        <v>-2</v>
      </c>
      <c r="I242">
        <f>J242-1</f>
        <v>-1</v>
      </c>
      <c r="J242">
        <v>0</v>
      </c>
    </row>
    <row r="243" spans="1:10" x14ac:dyDescent="0.35">
      <c r="C243" t="s">
        <v>9</v>
      </c>
      <c r="F243" t="b">
        <f>F242=0</f>
        <v>0</v>
      </c>
      <c r="G243" t="b">
        <f>G242=0</f>
        <v>0</v>
      </c>
      <c r="H243" t="b">
        <f>H242=0</f>
        <v>0</v>
      </c>
      <c r="I243" t="b">
        <f>I242=0</f>
        <v>0</v>
      </c>
      <c r="J243" t="b">
        <f>J242=0</f>
        <v>1</v>
      </c>
    </row>
    <row r="244" spans="1:10" x14ac:dyDescent="0.35">
      <c r="C244" t="s">
        <v>86</v>
      </c>
      <c r="F244" t="b">
        <f>F242&lt;1</f>
        <v>1</v>
      </c>
      <c r="G244" t="b">
        <f>G242&lt;1</f>
        <v>1</v>
      </c>
      <c r="H244" t="b">
        <f>H242&lt;1</f>
        <v>1</v>
      </c>
      <c r="I244" t="b">
        <f>I242&lt;1</f>
        <v>1</v>
      </c>
      <c r="J244" t="b">
        <f>J242&lt;1</f>
        <v>1</v>
      </c>
    </row>
    <row r="246" spans="1:10" x14ac:dyDescent="0.35">
      <c r="B246" t="s">
        <v>87</v>
      </c>
    </row>
    <row r="247" spans="1:10" x14ac:dyDescent="0.35">
      <c r="C247" t="s">
        <v>82</v>
      </c>
      <c r="F247" s="10">
        <f>F16</f>
        <v>100</v>
      </c>
      <c r="G247" s="10">
        <f>G16</f>
        <v>130</v>
      </c>
      <c r="H247" s="10">
        <f>H16</f>
        <v>180</v>
      </c>
      <c r="I247" s="10">
        <f>I16</f>
        <v>220</v>
      </c>
      <c r="J247" s="10">
        <f>J16</f>
        <v>250</v>
      </c>
    </row>
    <row r="248" spans="1:10" x14ac:dyDescent="0.35">
      <c r="C248" t="s">
        <v>88</v>
      </c>
      <c r="F248" s="10">
        <f>F270+F294+F322</f>
        <v>0</v>
      </c>
      <c r="G248" s="10">
        <f>G270+G294+G322</f>
        <v>0</v>
      </c>
      <c r="H248" s="10">
        <f>H270+H294+H322</f>
        <v>0</v>
      </c>
      <c r="I248" s="10">
        <f>I270+I294+I322</f>
        <v>0</v>
      </c>
      <c r="J248" s="10">
        <f>J270+J294+J322</f>
        <v>0</v>
      </c>
    </row>
    <row r="249" spans="1:10" x14ac:dyDescent="0.35">
      <c r="C249" t="s">
        <v>90</v>
      </c>
      <c r="F249" s="10"/>
      <c r="G249" s="10"/>
      <c r="H249" s="10"/>
      <c r="I249" s="10"/>
      <c r="J249" s="10"/>
    </row>
    <row r="250" spans="1:10" ht="15" thickBot="1" x14ac:dyDescent="0.4">
      <c r="C250" s="2" t="s">
        <v>91</v>
      </c>
      <c r="D250" s="2"/>
      <c r="E250" s="2"/>
      <c r="F250" s="19">
        <f>SUM(F247:F248)</f>
        <v>100</v>
      </c>
      <c r="G250" s="19">
        <f>G247</f>
        <v>130</v>
      </c>
      <c r="H250" s="19">
        <f>H247</f>
        <v>180</v>
      </c>
      <c r="I250" s="19">
        <f>I247</f>
        <v>220</v>
      </c>
      <c r="J250" s="19">
        <f>J247</f>
        <v>250</v>
      </c>
    </row>
    <row r="251" spans="1:10" ht="15" thickTop="1" x14ac:dyDescent="0.35">
      <c r="F251" s="10"/>
      <c r="G251" s="10"/>
      <c r="H251" s="10"/>
      <c r="I251" s="10"/>
      <c r="J251" s="10"/>
    </row>
    <row r="252" spans="1:10" ht="15" thickBot="1" x14ac:dyDescent="0.4">
      <c r="B252" t="s">
        <v>92</v>
      </c>
      <c r="F252" s="10"/>
      <c r="G252" s="10"/>
      <c r="H252" s="10"/>
      <c r="I252" s="10"/>
      <c r="J252" s="10"/>
    </row>
    <row r="253" spans="1:10" ht="15" thickBot="1" x14ac:dyDescent="0.4">
      <c r="B253">
        <v>1</v>
      </c>
      <c r="C253" s="20">
        <f>MATCH(B253,K221:K223,0)</f>
        <v>1</v>
      </c>
      <c r="D253" t="str">
        <f>INDEX(C221:C223,C253)</f>
        <v>Equity</v>
      </c>
      <c r="F253" s="10"/>
      <c r="G253" s="10"/>
      <c r="H253" s="10"/>
      <c r="I253" s="10"/>
      <c r="J253" s="10"/>
    </row>
    <row r="254" spans="1:10" x14ac:dyDescent="0.35">
      <c r="A254" t="s">
        <v>81</v>
      </c>
      <c r="C254" t="s">
        <v>93</v>
      </c>
      <c r="E254" s="10">
        <f>INDEX(F221:F223,C253)</f>
        <v>50</v>
      </c>
      <c r="F254" s="10">
        <f t="shared" ref="F254:J256" si="6">E254</f>
        <v>50</v>
      </c>
      <c r="G254" s="10">
        <f t="shared" si="6"/>
        <v>50</v>
      </c>
      <c r="H254" s="10">
        <f t="shared" si="6"/>
        <v>50</v>
      </c>
      <c r="I254" s="10">
        <f t="shared" si="6"/>
        <v>50</v>
      </c>
      <c r="J254" s="10">
        <f t="shared" si="6"/>
        <v>50</v>
      </c>
    </row>
    <row r="255" spans="1:10" x14ac:dyDescent="0.35">
      <c r="C255" t="s">
        <v>94</v>
      </c>
      <c r="E255" s="10">
        <f>E273</f>
        <v>0</v>
      </c>
      <c r="F255" s="10">
        <f t="shared" si="6"/>
        <v>0</v>
      </c>
      <c r="G255" s="10">
        <f t="shared" si="6"/>
        <v>0</v>
      </c>
      <c r="H255" s="10">
        <f t="shared" si="6"/>
        <v>0</v>
      </c>
      <c r="I255" s="10">
        <f t="shared" si="6"/>
        <v>0</v>
      </c>
      <c r="J255" s="10">
        <f t="shared" si="6"/>
        <v>0</v>
      </c>
    </row>
    <row r="256" spans="1:10" x14ac:dyDescent="0.35">
      <c r="C256" t="s">
        <v>95</v>
      </c>
      <c r="E256" s="10">
        <f>INDEX(I221:I223,C253)</f>
        <v>50</v>
      </c>
      <c r="F256" s="10">
        <f t="shared" si="6"/>
        <v>50</v>
      </c>
      <c r="G256" s="10">
        <f t="shared" si="6"/>
        <v>50</v>
      </c>
      <c r="H256" s="10">
        <f t="shared" si="6"/>
        <v>50</v>
      </c>
      <c r="I256" s="10">
        <f t="shared" si="6"/>
        <v>50</v>
      </c>
      <c r="J256" s="10">
        <f t="shared" si="6"/>
        <v>50</v>
      </c>
    </row>
    <row r="257" spans="2:10" x14ac:dyDescent="0.35">
      <c r="C257" t="s">
        <v>96</v>
      </c>
      <c r="F257" s="10">
        <f>F262</f>
        <v>0</v>
      </c>
      <c r="G257" s="10">
        <f>G262</f>
        <v>50</v>
      </c>
      <c r="H257" s="10">
        <f>H262</f>
        <v>50</v>
      </c>
      <c r="I257" s="10">
        <f>I262</f>
        <v>50</v>
      </c>
      <c r="J257" s="10">
        <f>J262</f>
        <v>50</v>
      </c>
    </row>
    <row r="258" spans="2:10" x14ac:dyDescent="0.35">
      <c r="C258" t="s">
        <v>97</v>
      </c>
      <c r="F258" s="10">
        <f>E272</f>
        <v>0</v>
      </c>
      <c r="G258" s="10">
        <f>F272</f>
        <v>0</v>
      </c>
      <c r="H258" s="10">
        <f>G272</f>
        <v>0</v>
      </c>
      <c r="I258" s="10">
        <f>H272</f>
        <v>0</v>
      </c>
      <c r="J258" s="10">
        <f>I272</f>
        <v>0</v>
      </c>
    </row>
    <row r="259" spans="2:10" x14ac:dyDescent="0.35">
      <c r="C259" t="s">
        <v>98</v>
      </c>
      <c r="F259" s="10">
        <f>MAX(F256-F257+F258,0)</f>
        <v>50</v>
      </c>
      <c r="G259" s="10">
        <f>MAX(G256-G257+G258,0)</f>
        <v>0</v>
      </c>
      <c r="H259" s="10">
        <f>MAX(H256-H257+H258,0)</f>
        <v>0</v>
      </c>
      <c r="I259" s="10">
        <f>MAX(I256-I257+I258,0)</f>
        <v>0</v>
      </c>
      <c r="J259" s="10">
        <f>MAX(J256-J257+J258,0)</f>
        <v>0</v>
      </c>
    </row>
    <row r="260" spans="2:10" x14ac:dyDescent="0.35">
      <c r="F260" s="10"/>
      <c r="G260" s="10"/>
      <c r="H260" s="10"/>
      <c r="I260" s="10"/>
      <c r="J260" s="10"/>
    </row>
    <row r="261" spans="2:10" x14ac:dyDescent="0.35">
      <c r="B261" t="str">
        <f>D253&amp;" Balance"</f>
        <v>Equity Balance</v>
      </c>
      <c r="F261" s="10"/>
      <c r="G261" s="10"/>
      <c r="H261" s="10"/>
      <c r="I261" s="10"/>
      <c r="J261" s="10"/>
    </row>
    <row r="262" spans="2:10" ht="15" thickBot="1" x14ac:dyDescent="0.4">
      <c r="C262" t="s">
        <v>15</v>
      </c>
      <c r="F262" s="10">
        <f>E265</f>
        <v>0</v>
      </c>
      <c r="G262" s="10">
        <f>F265</f>
        <v>50</v>
      </c>
      <c r="H262" s="10">
        <f>G265</f>
        <v>50</v>
      </c>
      <c r="I262" s="10">
        <f>H265</f>
        <v>50</v>
      </c>
      <c r="J262" s="10">
        <f>I265</f>
        <v>50</v>
      </c>
    </row>
    <row r="263" spans="2:10" ht="15" thickBot="1" x14ac:dyDescent="0.4">
      <c r="C263" s="4" t="s">
        <v>26</v>
      </c>
      <c r="D263" s="5"/>
      <c r="E263" s="21">
        <f>SUM(F263:J263)</f>
        <v>50</v>
      </c>
      <c r="F263" s="21">
        <f>MIN(F259,F250)</f>
        <v>50</v>
      </c>
      <c r="G263" s="21">
        <f>MIN(G259,G250)</f>
        <v>0</v>
      </c>
      <c r="H263" s="21">
        <f>MIN(H259,H250)</f>
        <v>0</v>
      </c>
      <c r="I263" s="21">
        <f>MIN(I259,I250)</f>
        <v>0</v>
      </c>
      <c r="J263" s="22">
        <f>MIN(J259,J250)</f>
        <v>0</v>
      </c>
    </row>
    <row r="264" spans="2:10" x14ac:dyDescent="0.35">
      <c r="C264" t="s">
        <v>99</v>
      </c>
      <c r="F264" s="10">
        <f>F269</f>
        <v>0</v>
      </c>
      <c r="G264" s="10">
        <f>G269</f>
        <v>0</v>
      </c>
      <c r="H264" s="10">
        <f>H269</f>
        <v>0</v>
      </c>
      <c r="I264" s="10">
        <f>I269</f>
        <v>0</v>
      </c>
      <c r="J264" s="10">
        <f>J269</f>
        <v>0</v>
      </c>
    </row>
    <row r="265" spans="2:10" x14ac:dyDescent="0.35">
      <c r="C265" t="s">
        <v>17</v>
      </c>
      <c r="F265" s="10">
        <f>F262+F263+F264</f>
        <v>50</v>
      </c>
      <c r="G265" s="10">
        <f>G262+G263+G264</f>
        <v>50</v>
      </c>
      <c r="H265" s="10">
        <f>H262+H263+H264</f>
        <v>50</v>
      </c>
      <c r="I265" s="10">
        <f>I262+I263+I264</f>
        <v>50</v>
      </c>
      <c r="J265" s="10">
        <f>J262+J263+J264</f>
        <v>50</v>
      </c>
    </row>
    <row r="266" spans="2:10" x14ac:dyDescent="0.35">
      <c r="F266" s="10"/>
      <c r="G266" s="10"/>
      <c r="H266" s="10"/>
      <c r="I266" s="10"/>
      <c r="J266" s="10"/>
    </row>
    <row r="267" spans="2:10" x14ac:dyDescent="0.35">
      <c r="C267" t="s">
        <v>101</v>
      </c>
      <c r="E267" s="11">
        <f>INDEX(P221:P223,C253)</f>
        <v>0</v>
      </c>
      <c r="F267" s="11">
        <f>E267</f>
        <v>0</v>
      </c>
      <c r="G267" s="11">
        <f>F267</f>
        <v>0</v>
      </c>
      <c r="H267" s="11">
        <f>G267</f>
        <v>0</v>
      </c>
      <c r="I267" s="11">
        <f>H267</f>
        <v>0</v>
      </c>
      <c r="J267" s="11">
        <f>I267</f>
        <v>0</v>
      </c>
    </row>
    <row r="268" spans="2:10" x14ac:dyDescent="0.35">
      <c r="C268" t="s">
        <v>102</v>
      </c>
      <c r="F268" s="10">
        <f>F267*F262</f>
        <v>0</v>
      </c>
      <c r="G268" s="10">
        <f>G267*G262</f>
        <v>0</v>
      </c>
      <c r="H268" s="10">
        <f>H267*H262</f>
        <v>0</v>
      </c>
      <c r="I268" s="10">
        <f>I267*I262</f>
        <v>0</v>
      </c>
      <c r="J268" s="10">
        <f>J267*J262</f>
        <v>0</v>
      </c>
    </row>
    <row r="269" spans="2:10" x14ac:dyDescent="0.35">
      <c r="C269" t="s">
        <v>103</v>
      </c>
      <c r="E269" t="b">
        <f>INDEX(M221:M223,C253)</f>
        <v>0</v>
      </c>
      <c r="F269" s="10">
        <f>$E269*F268</f>
        <v>0</v>
      </c>
      <c r="G269" s="10">
        <f>$E269*G268</f>
        <v>0</v>
      </c>
      <c r="H269" s="10">
        <f>$E269*H268</f>
        <v>0</v>
      </c>
      <c r="I269" s="10">
        <f>$E269*I268</f>
        <v>0</v>
      </c>
      <c r="J269" s="10">
        <f>$E269*J268</f>
        <v>0</v>
      </c>
    </row>
    <row r="270" spans="2:10" x14ac:dyDescent="0.35">
      <c r="C270" t="s">
        <v>84</v>
      </c>
      <c r="F270" s="10">
        <f>F268-F269</f>
        <v>0</v>
      </c>
      <c r="G270" s="10">
        <f>G268-G269</f>
        <v>0</v>
      </c>
      <c r="H270" s="10">
        <f>H268-H269</f>
        <v>0</v>
      </c>
      <c r="I270" s="10">
        <f>I268-I269</f>
        <v>0</v>
      </c>
      <c r="J270" s="10">
        <f>J268-J269</f>
        <v>0</v>
      </c>
    </row>
    <row r="271" spans="2:10" x14ac:dyDescent="0.35">
      <c r="F271" s="10"/>
      <c r="G271" s="10"/>
      <c r="H271" s="10"/>
      <c r="I271" s="10"/>
      <c r="J271" s="10"/>
    </row>
    <row r="272" spans="2:10" x14ac:dyDescent="0.35">
      <c r="C272" t="s">
        <v>108</v>
      </c>
      <c r="F272" s="10">
        <f>E272+F264</f>
        <v>0</v>
      </c>
      <c r="G272" s="10">
        <f>F272+G264</f>
        <v>0</v>
      </c>
      <c r="H272" s="10">
        <f>G272+H264</f>
        <v>0</v>
      </c>
      <c r="I272" s="10">
        <f>H272+I264</f>
        <v>0</v>
      </c>
      <c r="J272" s="10">
        <f>I272+J264</f>
        <v>0</v>
      </c>
    </row>
    <row r="273" spans="2:10" x14ac:dyDescent="0.35">
      <c r="C273" t="s">
        <v>109</v>
      </c>
      <c r="E273" s="10">
        <f>SUMPRODUCT(F269:J269*F244:J244)</f>
        <v>0</v>
      </c>
      <c r="F273" s="10"/>
      <c r="G273" s="10"/>
      <c r="H273" s="10"/>
      <c r="I273" s="10"/>
      <c r="J273" s="10"/>
    </row>
    <row r="274" spans="2:10" x14ac:dyDescent="0.35">
      <c r="F274" s="10"/>
      <c r="G274" s="10"/>
      <c r="H274" s="10"/>
      <c r="I274" s="10"/>
      <c r="J274" s="10"/>
    </row>
    <row r="275" spans="2:10" ht="15" thickBot="1" x14ac:dyDescent="0.4">
      <c r="B275" s="23" t="s">
        <v>111</v>
      </c>
      <c r="C275" s="23"/>
      <c r="D275" s="23"/>
      <c r="E275" s="23"/>
      <c r="F275" s="24">
        <f>F250-F263</f>
        <v>50</v>
      </c>
      <c r="G275" s="24">
        <f>G250-G263</f>
        <v>130</v>
      </c>
      <c r="H275" s="24">
        <f>H250-H263</f>
        <v>180</v>
      </c>
      <c r="I275" s="24">
        <f>I250-I263</f>
        <v>220</v>
      </c>
      <c r="J275" s="24">
        <f>J250-J263</f>
        <v>250</v>
      </c>
    </row>
    <row r="276" spans="2:10" x14ac:dyDescent="0.35">
      <c r="F276" s="10"/>
      <c r="G276" s="10"/>
      <c r="H276" s="10"/>
      <c r="I276" s="10"/>
      <c r="J276" s="10"/>
    </row>
    <row r="277" spans="2:10" x14ac:dyDescent="0.35">
      <c r="B277" t="s">
        <v>112</v>
      </c>
      <c r="F277" s="10"/>
      <c r="G277" s="10"/>
      <c r="H277" s="10"/>
      <c r="I277" s="10"/>
      <c r="J277" s="10"/>
    </row>
    <row r="278" spans="2:10" x14ac:dyDescent="0.35">
      <c r="B278">
        <v>2</v>
      </c>
      <c r="C278">
        <f>MATCH(B278,K221:K223,0)</f>
        <v>2</v>
      </c>
      <c r="D278" t="str">
        <f>INDEX(C221:C223,C278)</f>
        <v>Sub Debt</v>
      </c>
      <c r="F278" s="10"/>
      <c r="G278" s="10"/>
      <c r="H278" s="10"/>
      <c r="I278" s="10"/>
      <c r="J278" s="10"/>
    </row>
    <row r="279" spans="2:10" x14ac:dyDescent="0.35">
      <c r="C279" t="s">
        <v>113</v>
      </c>
      <c r="E279" s="10">
        <f>INDEX(F221:F223,C278)</f>
        <v>317.96528539752478</v>
      </c>
      <c r="F279" s="10">
        <f t="shared" ref="F279:J281" si="7">E279</f>
        <v>317.96528539752478</v>
      </c>
      <c r="G279" s="10">
        <f t="shared" si="7"/>
        <v>317.96528539752478</v>
      </c>
      <c r="H279" s="10">
        <f t="shared" si="7"/>
        <v>317.96528539752478</v>
      </c>
      <c r="I279" s="10">
        <f t="shared" si="7"/>
        <v>317.96528539752478</v>
      </c>
      <c r="J279" s="10">
        <f t="shared" si="7"/>
        <v>317.96528539752478</v>
      </c>
    </row>
    <row r="280" spans="2:10" x14ac:dyDescent="0.35">
      <c r="C280" t="s">
        <v>114</v>
      </c>
      <c r="E280" s="10">
        <v>168.34575000000001</v>
      </c>
      <c r="F280" s="10">
        <f t="shared" si="7"/>
        <v>168.34575000000001</v>
      </c>
      <c r="G280" s="10">
        <f t="shared" si="7"/>
        <v>168.34575000000001</v>
      </c>
      <c r="H280" s="10">
        <f t="shared" si="7"/>
        <v>168.34575000000001</v>
      </c>
      <c r="I280" s="10">
        <f t="shared" si="7"/>
        <v>168.34575000000001</v>
      </c>
      <c r="J280" s="10">
        <f t="shared" si="7"/>
        <v>168.34575000000001</v>
      </c>
    </row>
    <row r="281" spans="2:10" x14ac:dyDescent="0.35">
      <c r="C281" t="s">
        <v>115</v>
      </c>
      <c r="E281" s="10">
        <f>INDEX(I221:I223,C278)</f>
        <v>239.28470646403537</v>
      </c>
      <c r="F281" s="10">
        <f t="shared" si="7"/>
        <v>239.28470646403537</v>
      </c>
      <c r="G281" s="10">
        <f t="shared" si="7"/>
        <v>239.28470646403537</v>
      </c>
      <c r="H281" s="10">
        <f t="shared" si="7"/>
        <v>239.28470646403537</v>
      </c>
      <c r="I281" s="10">
        <f t="shared" si="7"/>
        <v>239.28470646403537</v>
      </c>
      <c r="J281" s="10">
        <f t="shared" si="7"/>
        <v>239.28470646403537</v>
      </c>
    </row>
    <row r="282" spans="2:10" x14ac:dyDescent="0.35">
      <c r="C282" t="s">
        <v>116</v>
      </c>
      <c r="F282" s="10">
        <f>F286</f>
        <v>0</v>
      </c>
      <c r="G282" s="10">
        <f>G286</f>
        <v>50</v>
      </c>
      <c r="H282" s="10">
        <f>H286</f>
        <v>185</v>
      </c>
      <c r="I282" s="10">
        <f>I286</f>
        <v>262.78470646403537</v>
      </c>
      <c r="J282" s="10">
        <f>J286</f>
        <v>289.06317711043891</v>
      </c>
    </row>
    <row r="283" spans="2:10" x14ac:dyDescent="0.35">
      <c r="C283" t="s">
        <v>97</v>
      </c>
      <c r="F283" s="10">
        <f>E297</f>
        <v>0</v>
      </c>
      <c r="G283" s="10">
        <f>F297</f>
        <v>0</v>
      </c>
      <c r="H283" s="10">
        <f>G297</f>
        <v>5</v>
      </c>
      <c r="I283" s="10">
        <f>H297</f>
        <v>23.5</v>
      </c>
      <c r="J283" s="10">
        <f>I297</f>
        <v>49.778470646403534</v>
      </c>
    </row>
    <row r="284" spans="2:10" x14ac:dyDescent="0.35">
      <c r="C284" t="s">
        <v>21</v>
      </c>
      <c r="F284" s="10">
        <f>MAX(F281-F282+F283,0)</f>
        <v>239.28470646403537</v>
      </c>
      <c r="G284" s="10">
        <f>MAX(G281-G282+G283,0)</f>
        <v>189.28470646403537</v>
      </c>
      <c r="H284" s="10">
        <f>MAX(H281-H282+H283,0)</f>
        <v>59.284706464035366</v>
      </c>
      <c r="I284" s="10">
        <f>MAX(I281-I282+I283,0)</f>
        <v>0</v>
      </c>
      <c r="J284" s="10">
        <f>MAX(J281-J282+J283,0)</f>
        <v>0</v>
      </c>
    </row>
    <row r="285" spans="2:10" x14ac:dyDescent="0.35">
      <c r="F285" s="10"/>
      <c r="G285" s="10"/>
      <c r="H285" s="10"/>
      <c r="I285" s="10"/>
      <c r="J285" s="10"/>
    </row>
    <row r="286" spans="2:10" ht="15" thickBot="1" x14ac:dyDescent="0.4">
      <c r="C286" t="s">
        <v>15</v>
      </c>
      <c r="F286" s="10">
        <f>D289</f>
        <v>0</v>
      </c>
      <c r="G286" s="10">
        <f>F289</f>
        <v>50</v>
      </c>
      <c r="H286" s="10">
        <f>G289</f>
        <v>185</v>
      </c>
      <c r="I286" s="10">
        <f>H289</f>
        <v>262.78470646403537</v>
      </c>
      <c r="J286" s="10">
        <f>I289</f>
        <v>289.06317711043891</v>
      </c>
    </row>
    <row r="287" spans="2:10" ht="15" thickBot="1" x14ac:dyDescent="0.4">
      <c r="C287" s="4" t="s">
        <v>117</v>
      </c>
      <c r="D287" s="5"/>
      <c r="E287" s="21">
        <f>SUM(F287:J287)</f>
        <v>239.28470646403537</v>
      </c>
      <c r="F287" s="21">
        <f>MIN(F275,F284)</f>
        <v>50</v>
      </c>
      <c r="G287" s="21">
        <f>MIN(G275,G284)</f>
        <v>130</v>
      </c>
      <c r="H287" s="21">
        <f>MIN(H275,H284)</f>
        <v>59.284706464035366</v>
      </c>
      <c r="I287" s="21">
        <f>MIN(I275,I284)</f>
        <v>0</v>
      </c>
      <c r="J287" s="22">
        <f>MIN(J275,J284)</f>
        <v>0</v>
      </c>
    </row>
    <row r="288" spans="2:10" x14ac:dyDescent="0.35">
      <c r="C288" t="s">
        <v>118</v>
      </c>
      <c r="E288" s="10">
        <f>E287</f>
        <v>239.28470646403537</v>
      </c>
      <c r="F288" s="10">
        <f>F293</f>
        <v>0</v>
      </c>
      <c r="G288" s="10">
        <f>G293</f>
        <v>5</v>
      </c>
      <c r="H288" s="10">
        <f>H293</f>
        <v>18.5</v>
      </c>
      <c r="I288" s="10">
        <f>I293</f>
        <v>26.278470646403537</v>
      </c>
      <c r="J288" s="10">
        <f>J293</f>
        <v>28.906317711043894</v>
      </c>
    </row>
    <row r="289" spans="2:10" x14ac:dyDescent="0.35">
      <c r="C289" t="s">
        <v>17</v>
      </c>
      <c r="F289" s="10">
        <f>F286+F287+F288</f>
        <v>50</v>
      </c>
      <c r="G289" s="10">
        <f>G286+G287+G288</f>
        <v>185</v>
      </c>
      <c r="H289" s="10">
        <f>H286+H287+H288</f>
        <v>262.78470646403537</v>
      </c>
      <c r="I289" s="10">
        <f>I286+I287+I288</f>
        <v>289.06317711043891</v>
      </c>
      <c r="J289" s="10">
        <f>J286+J287+J288</f>
        <v>317.96949482148278</v>
      </c>
    </row>
    <row r="291" spans="2:10" x14ac:dyDescent="0.35">
      <c r="C291" t="s">
        <v>101</v>
      </c>
      <c r="F291" s="11">
        <f>P223</f>
        <v>0.1</v>
      </c>
      <c r="G291" s="11">
        <f>F291</f>
        <v>0.1</v>
      </c>
      <c r="H291" s="11">
        <f>G291</f>
        <v>0.1</v>
      </c>
      <c r="I291" s="11">
        <f>H291</f>
        <v>0.1</v>
      </c>
      <c r="J291" s="11">
        <f>I291</f>
        <v>0.1</v>
      </c>
    </row>
    <row r="292" spans="2:10" x14ac:dyDescent="0.35">
      <c r="C292" t="s">
        <v>102</v>
      </c>
      <c r="F292" s="10">
        <f>F291*F286</f>
        <v>0</v>
      </c>
      <c r="G292" s="10">
        <f>G291*G286</f>
        <v>5</v>
      </c>
      <c r="H292" s="10">
        <f>H291*H286</f>
        <v>18.5</v>
      </c>
      <c r="I292" s="10">
        <f>I291*I286</f>
        <v>26.278470646403537</v>
      </c>
      <c r="J292" s="10">
        <f>J291*J286</f>
        <v>28.906317711043894</v>
      </c>
    </row>
    <row r="293" spans="2:10" x14ac:dyDescent="0.35">
      <c r="C293" t="s">
        <v>120</v>
      </c>
      <c r="E293" t="b">
        <f>INDEX(M221:M223,C278)</f>
        <v>1</v>
      </c>
      <c r="F293" s="10">
        <f>$E293*F292</f>
        <v>0</v>
      </c>
      <c r="G293" s="10">
        <f>$E293*G292</f>
        <v>5</v>
      </c>
      <c r="H293" s="10">
        <f>$E293*H292</f>
        <v>18.5</v>
      </c>
      <c r="I293" s="10">
        <f>$E293*I292</f>
        <v>26.278470646403537</v>
      </c>
      <c r="J293" s="10">
        <f>$E293*J292</f>
        <v>28.906317711043894</v>
      </c>
    </row>
    <row r="294" spans="2:10" x14ac:dyDescent="0.35">
      <c r="C294" t="s">
        <v>84</v>
      </c>
      <c r="F294" s="10">
        <f>F292-F293</f>
        <v>0</v>
      </c>
      <c r="G294" s="10">
        <f>G292-G293</f>
        <v>0</v>
      </c>
      <c r="H294" s="10">
        <f>H292-H293</f>
        <v>0</v>
      </c>
      <c r="I294" s="10">
        <f>I292-I293</f>
        <v>0</v>
      </c>
      <c r="J294" s="10">
        <f>J292-J293</f>
        <v>0</v>
      </c>
    </row>
    <row r="295" spans="2:10" x14ac:dyDescent="0.35">
      <c r="C295" t="s">
        <v>121</v>
      </c>
      <c r="F295" s="10">
        <f>E295+F293</f>
        <v>0</v>
      </c>
      <c r="G295" s="10">
        <f>F295+G293</f>
        <v>5</v>
      </c>
      <c r="H295" s="10">
        <f>G295+H293</f>
        <v>23.5</v>
      </c>
      <c r="I295" s="10">
        <f>H295+I293</f>
        <v>49.778470646403534</v>
      </c>
      <c r="J295" s="10">
        <f>I295+J293</f>
        <v>78.684788357447431</v>
      </c>
    </row>
    <row r="296" spans="2:10" x14ac:dyDescent="0.35">
      <c r="F296" s="11"/>
      <c r="G296" s="11"/>
      <c r="H296" s="11"/>
      <c r="I296" s="11"/>
      <c r="J296" s="11"/>
    </row>
    <row r="297" spans="2:10" x14ac:dyDescent="0.35">
      <c r="C297" t="s">
        <v>147</v>
      </c>
      <c r="F297" s="10">
        <f>E297+F288</f>
        <v>0</v>
      </c>
      <c r="G297" s="10">
        <f>F297+G288</f>
        <v>5</v>
      </c>
      <c r="H297" s="10">
        <f>G297+H288</f>
        <v>23.5</v>
      </c>
      <c r="I297" s="10">
        <f>H297+I288</f>
        <v>49.778470646403534</v>
      </c>
      <c r="J297" s="10">
        <f>I297+J288</f>
        <v>78.684788357447431</v>
      </c>
    </row>
    <row r="298" spans="2:10" x14ac:dyDescent="0.35">
      <c r="F298" s="10"/>
      <c r="G298" s="10"/>
      <c r="H298" s="10"/>
      <c r="I298" s="10"/>
      <c r="J298" s="10"/>
    </row>
    <row r="299" spans="2:10" x14ac:dyDescent="0.35">
      <c r="C299" t="s">
        <v>125</v>
      </c>
      <c r="E299" s="10">
        <f>SUMPRODUCT(F293:J293*F244:J244)</f>
        <v>78.684788357447431</v>
      </c>
      <c r="G299" s="10"/>
      <c r="H299" s="10"/>
      <c r="I299" s="10"/>
      <c r="J299" s="10"/>
    </row>
    <row r="300" spans="2:10" x14ac:dyDescent="0.35">
      <c r="C300" t="s">
        <v>127</v>
      </c>
      <c r="E300" s="10">
        <f>E299</f>
        <v>78.684788357447431</v>
      </c>
      <c r="G300" s="10"/>
      <c r="H300" s="10"/>
      <c r="I300" s="10"/>
      <c r="J300" s="10"/>
    </row>
    <row r="302" spans="2:10" ht="15" thickBot="1" x14ac:dyDescent="0.4">
      <c r="B302" s="23" t="s">
        <v>128</v>
      </c>
      <c r="C302" s="23"/>
      <c r="D302" s="23"/>
      <c r="E302" s="23"/>
      <c r="F302" s="24">
        <f>F275-F287</f>
        <v>0</v>
      </c>
      <c r="G302" s="24">
        <f>G275-G287</f>
        <v>0</v>
      </c>
      <c r="H302" s="24">
        <f>H275-H287</f>
        <v>120.71529353596463</v>
      </c>
      <c r="I302" s="24">
        <f>I275-I287</f>
        <v>220</v>
      </c>
      <c r="J302" s="24">
        <f>J275-J287</f>
        <v>250</v>
      </c>
    </row>
    <row r="304" spans="2:10" x14ac:dyDescent="0.35">
      <c r="B304" t="s">
        <v>129</v>
      </c>
    </row>
    <row r="305" spans="2:10" x14ac:dyDescent="0.35">
      <c r="B305">
        <v>3</v>
      </c>
      <c r="C305">
        <f>MATCH(B305,K221:K223,0)</f>
        <v>3</v>
      </c>
      <c r="D305" t="str">
        <f>INDEX(C221:C223,C305)</f>
        <v>Senior Debt</v>
      </c>
    </row>
    <row r="306" spans="2:10" x14ac:dyDescent="0.35">
      <c r="C306" t="s">
        <v>93</v>
      </c>
      <c r="E306" s="10">
        <f>INDEX(F221:F223,C305)</f>
        <v>638.06971460247519</v>
      </c>
      <c r="F306" s="10">
        <f t="shared" ref="F306:J308" si="8">E306</f>
        <v>638.06971460247519</v>
      </c>
      <c r="G306" s="10">
        <f t="shared" si="8"/>
        <v>638.06971460247519</v>
      </c>
      <c r="H306" s="10">
        <f t="shared" si="8"/>
        <v>638.06971460247519</v>
      </c>
      <c r="I306" s="10">
        <f t="shared" si="8"/>
        <v>638.06971460247519</v>
      </c>
      <c r="J306" s="10">
        <f t="shared" si="8"/>
        <v>638.06971460247519</v>
      </c>
    </row>
    <row r="307" spans="2:10" x14ac:dyDescent="0.35">
      <c r="C307" t="s">
        <v>94</v>
      </c>
      <c r="E307" s="10">
        <f>E326</f>
        <v>47.35021164255258</v>
      </c>
      <c r="F307" s="10">
        <f t="shared" si="8"/>
        <v>47.35021164255258</v>
      </c>
      <c r="G307" s="10">
        <f t="shared" si="8"/>
        <v>47.35021164255258</v>
      </c>
      <c r="H307" s="10">
        <f t="shared" si="8"/>
        <v>47.35021164255258</v>
      </c>
      <c r="I307" s="10">
        <f t="shared" si="8"/>
        <v>47.35021164255258</v>
      </c>
      <c r="J307" s="10">
        <f t="shared" si="8"/>
        <v>47.35021164255258</v>
      </c>
    </row>
    <row r="308" spans="2:10" x14ac:dyDescent="0.35">
      <c r="C308" t="s">
        <v>95</v>
      </c>
      <c r="E308" s="10">
        <f>INDEX(I221:I223,C305)</f>
        <v>590.71529353596463</v>
      </c>
      <c r="F308" s="10">
        <f t="shared" si="8"/>
        <v>590.71529353596463</v>
      </c>
      <c r="G308" s="10">
        <f t="shared" si="8"/>
        <v>590.71529353596463</v>
      </c>
      <c r="H308" s="10">
        <f t="shared" si="8"/>
        <v>590.71529353596463</v>
      </c>
      <c r="I308" s="10">
        <f t="shared" si="8"/>
        <v>590.71529353596463</v>
      </c>
      <c r="J308" s="10">
        <f t="shared" si="8"/>
        <v>590.71529353596463</v>
      </c>
    </row>
    <row r="309" spans="2:10" x14ac:dyDescent="0.35">
      <c r="C309" t="s">
        <v>96</v>
      </c>
      <c r="F309" s="10">
        <f>F314</f>
        <v>0</v>
      </c>
      <c r="G309" s="10">
        <f>G314</f>
        <v>0</v>
      </c>
      <c r="H309" s="10">
        <f>H314</f>
        <v>0</v>
      </c>
      <c r="I309" s="10">
        <f>I314</f>
        <v>120.71529353596463</v>
      </c>
      <c r="J309" s="10">
        <f>J314</f>
        <v>352.78682288956111</v>
      </c>
    </row>
    <row r="310" spans="2:10" x14ac:dyDescent="0.35">
      <c r="C310" t="s">
        <v>97</v>
      </c>
      <c r="F310" s="10">
        <f>E324</f>
        <v>0</v>
      </c>
      <c r="G310" s="10">
        <f>F324</f>
        <v>0</v>
      </c>
      <c r="H310" s="10">
        <f>G324</f>
        <v>0</v>
      </c>
      <c r="I310" s="10">
        <f>H324</f>
        <v>0</v>
      </c>
      <c r="J310" s="10">
        <f>I324</f>
        <v>12.071529353596464</v>
      </c>
    </row>
    <row r="311" spans="2:10" x14ac:dyDescent="0.35">
      <c r="C311" t="s">
        <v>98</v>
      </c>
      <c r="F311" s="10">
        <f>MAX(F308-F309+F310,0)</f>
        <v>590.71529353596463</v>
      </c>
      <c r="G311" s="10">
        <f>MAX(G308-G309+G310,0)</f>
        <v>590.71529353596463</v>
      </c>
      <c r="H311" s="10">
        <f>MAX(H308-H309+H310,0)</f>
        <v>590.71529353596463</v>
      </c>
      <c r="I311" s="10">
        <f>MAX(I308-I309+I310,0)</f>
        <v>470</v>
      </c>
      <c r="J311" s="10">
        <f>MAX(J308-J309+J310,0)</f>
        <v>250</v>
      </c>
    </row>
    <row r="312" spans="2:10" x14ac:dyDescent="0.35">
      <c r="F312" s="10"/>
      <c r="G312" s="10"/>
      <c r="H312" s="10"/>
      <c r="I312" s="10"/>
      <c r="J312" s="10"/>
    </row>
    <row r="313" spans="2:10" x14ac:dyDescent="0.35">
      <c r="B313" t="str">
        <f>D305&amp;" Balance"</f>
        <v>Senior Debt Balance</v>
      </c>
      <c r="F313" s="10"/>
      <c r="G313" s="10"/>
      <c r="H313" s="10"/>
      <c r="I313" s="10"/>
      <c r="J313" s="10"/>
    </row>
    <row r="314" spans="2:10" ht="15" thickBot="1" x14ac:dyDescent="0.4">
      <c r="C314" t="s">
        <v>15</v>
      </c>
      <c r="F314" s="10">
        <f>E317</f>
        <v>0</v>
      </c>
      <c r="G314" s="10">
        <f>F317</f>
        <v>0</v>
      </c>
      <c r="H314" s="10">
        <f>G317</f>
        <v>0</v>
      </c>
      <c r="I314" s="10">
        <f>H317</f>
        <v>120.71529353596463</v>
      </c>
      <c r="J314" s="10">
        <f>I317</f>
        <v>352.78682288956111</v>
      </c>
    </row>
    <row r="315" spans="2:10" ht="15" thickBot="1" x14ac:dyDescent="0.4">
      <c r="C315" s="4" t="s">
        <v>26</v>
      </c>
      <c r="D315" s="5"/>
      <c r="E315" s="21">
        <f>SUM(F315:J315)</f>
        <v>590.71529353596463</v>
      </c>
      <c r="F315" s="21">
        <f>MIN(F311,F302)</f>
        <v>0</v>
      </c>
      <c r="G315" s="21">
        <f>MIN(G311,G302)</f>
        <v>0</v>
      </c>
      <c r="H315" s="21">
        <f>MIN(H311,H302)</f>
        <v>120.71529353596463</v>
      </c>
      <c r="I315" s="21">
        <f>MIN(I311,I302)</f>
        <v>220</v>
      </c>
      <c r="J315" s="22">
        <f>MIN(J311,J302)</f>
        <v>250</v>
      </c>
    </row>
    <row r="316" spans="2:10" x14ac:dyDescent="0.35">
      <c r="C316" t="s">
        <v>99</v>
      </c>
      <c r="F316" s="10">
        <f>F321</f>
        <v>0</v>
      </c>
      <c r="G316" s="10">
        <f>G321</f>
        <v>0</v>
      </c>
      <c r="H316" s="10">
        <f>H321</f>
        <v>0</v>
      </c>
      <c r="I316" s="10">
        <f>I321</f>
        <v>12.071529353596464</v>
      </c>
      <c r="J316" s="10">
        <f>J321</f>
        <v>35.278682288956112</v>
      </c>
    </row>
    <row r="317" spans="2:10" x14ac:dyDescent="0.35">
      <c r="C317" t="s">
        <v>17</v>
      </c>
      <c r="F317" s="10">
        <f>F314+F315+F316</f>
        <v>0</v>
      </c>
      <c r="G317" s="10">
        <f>G314+G315+G316</f>
        <v>0</v>
      </c>
      <c r="H317" s="10">
        <f>H314+H315+H316</f>
        <v>120.71529353596463</v>
      </c>
      <c r="I317" s="10">
        <f>I314+I315+I316</f>
        <v>352.78682288956111</v>
      </c>
      <c r="J317" s="10">
        <f>J314+J315+J316</f>
        <v>638.06550517851724</v>
      </c>
    </row>
    <row r="318" spans="2:10" x14ac:dyDescent="0.35">
      <c r="F318" s="10"/>
      <c r="G318" s="10"/>
      <c r="H318" s="10"/>
      <c r="I318" s="10"/>
      <c r="J318" s="10"/>
    </row>
    <row r="319" spans="2:10" x14ac:dyDescent="0.35">
      <c r="C319" t="s">
        <v>101</v>
      </c>
      <c r="E319" s="11">
        <f>INDEX(P221:P223,C305)</f>
        <v>0.1</v>
      </c>
      <c r="F319" s="11">
        <f>E319</f>
        <v>0.1</v>
      </c>
      <c r="G319" s="11">
        <f>F319</f>
        <v>0.1</v>
      </c>
      <c r="H319" s="11">
        <f>G319</f>
        <v>0.1</v>
      </c>
      <c r="I319" s="11">
        <f>H319</f>
        <v>0.1</v>
      </c>
      <c r="J319" s="11">
        <f>I319</f>
        <v>0.1</v>
      </c>
    </row>
    <row r="320" spans="2:10" x14ac:dyDescent="0.35">
      <c r="C320" t="s">
        <v>102</v>
      </c>
      <c r="F320" s="10">
        <f>F319*F314</f>
        <v>0</v>
      </c>
      <c r="G320" s="10">
        <f>G319*G314</f>
        <v>0</v>
      </c>
      <c r="H320" s="10">
        <f>H319*H314</f>
        <v>0</v>
      </c>
      <c r="I320" s="10">
        <f>I319*I314</f>
        <v>12.071529353596464</v>
      </c>
      <c r="J320" s="10">
        <f>J319*J314</f>
        <v>35.278682288956112</v>
      </c>
    </row>
    <row r="321" spans="2:10" x14ac:dyDescent="0.35">
      <c r="C321" t="s">
        <v>103</v>
      </c>
      <c r="E321" t="b">
        <f>INDEX(M221:M223,C305)</f>
        <v>1</v>
      </c>
      <c r="F321" s="10">
        <f>$E321*F320</f>
        <v>0</v>
      </c>
      <c r="G321" s="10">
        <f>$E321*G320</f>
        <v>0</v>
      </c>
      <c r="H321" s="10">
        <f>$E321*H320</f>
        <v>0</v>
      </c>
      <c r="I321" s="10">
        <f>$E321*I320</f>
        <v>12.071529353596464</v>
      </c>
      <c r="J321" s="10">
        <f>$E321*J320</f>
        <v>35.278682288956112</v>
      </c>
    </row>
    <row r="322" spans="2:10" x14ac:dyDescent="0.35">
      <c r="C322" t="s">
        <v>84</v>
      </c>
      <c r="F322" s="10">
        <f>F320-F321</f>
        <v>0</v>
      </c>
      <c r="G322" s="10">
        <f>G320-G321</f>
        <v>0</v>
      </c>
      <c r="H322" s="10">
        <f>H320-H321</f>
        <v>0</v>
      </c>
      <c r="I322" s="10">
        <f>I320-I321</f>
        <v>0</v>
      </c>
      <c r="J322" s="10">
        <f>J320-J321</f>
        <v>0</v>
      </c>
    </row>
    <row r="323" spans="2:10" x14ac:dyDescent="0.35">
      <c r="F323" s="10"/>
      <c r="G323" s="10"/>
      <c r="H323" s="10"/>
      <c r="I323" s="10"/>
      <c r="J323" s="10"/>
    </row>
    <row r="324" spans="2:10" x14ac:dyDescent="0.35">
      <c r="C324" t="s">
        <v>108</v>
      </c>
      <c r="F324" s="10">
        <f>E324+F321</f>
        <v>0</v>
      </c>
      <c r="G324" s="10">
        <f>F324+G321</f>
        <v>0</v>
      </c>
      <c r="H324" s="10">
        <f>G324+H321</f>
        <v>0</v>
      </c>
      <c r="I324" s="10">
        <f>H324+I321</f>
        <v>12.071529353596464</v>
      </c>
      <c r="J324" s="10">
        <f>I324+J321</f>
        <v>47.35021164255258</v>
      </c>
    </row>
    <row r="325" spans="2:10" x14ac:dyDescent="0.35">
      <c r="F325" s="10"/>
      <c r="G325" s="10"/>
      <c r="H325" s="10"/>
      <c r="I325" s="10"/>
      <c r="J325" s="10"/>
    </row>
    <row r="326" spans="2:10" x14ac:dyDescent="0.35">
      <c r="C326" t="s">
        <v>109</v>
      </c>
      <c r="E326" s="10">
        <f>SUMPRODUCT(F321:J321*F244:J244)</f>
        <v>47.35021164255258</v>
      </c>
      <c r="F326" s="10"/>
      <c r="G326" s="10"/>
      <c r="H326" s="10"/>
      <c r="I326" s="10"/>
      <c r="J326" s="10"/>
    </row>
    <row r="328" spans="2:10" x14ac:dyDescent="0.35">
      <c r="B328" t="s">
        <v>136</v>
      </c>
    </row>
    <row r="329" spans="2:10" x14ac:dyDescent="0.35">
      <c r="C329" t="s">
        <v>82</v>
      </c>
      <c r="F329" s="10">
        <f>F247</f>
        <v>100</v>
      </c>
      <c r="G329" s="10">
        <f>G247</f>
        <v>130</v>
      </c>
      <c r="H329" s="10">
        <f>H247</f>
        <v>180</v>
      </c>
      <c r="I329" s="10">
        <f>I247</f>
        <v>220</v>
      </c>
      <c r="J329" s="10">
        <f>J247</f>
        <v>250</v>
      </c>
    </row>
    <row r="330" spans="2:10" x14ac:dyDescent="0.35">
      <c r="C330" t="s">
        <v>137</v>
      </c>
      <c r="F330" s="10">
        <f>F268+F292+F320</f>
        <v>0</v>
      </c>
      <c r="G330" s="10">
        <f>G268+G292+G320</f>
        <v>5</v>
      </c>
      <c r="H330" s="10">
        <f>H268+H292+H320</f>
        <v>18.5</v>
      </c>
      <c r="I330" s="10">
        <f>I268+I292+I320</f>
        <v>38.35</v>
      </c>
      <c r="J330" s="10">
        <f>J268+J292+J320</f>
        <v>64.185000000000002</v>
      </c>
    </row>
    <row r="331" spans="2:10" x14ac:dyDescent="0.35">
      <c r="C331" t="s">
        <v>139</v>
      </c>
    </row>
    <row r="332" spans="2:10" ht="15" thickBot="1" x14ac:dyDescent="0.4">
      <c r="D332" s="23" t="s">
        <v>4</v>
      </c>
      <c r="E332" s="23"/>
      <c r="F332" s="24">
        <f>SUM(F329:F331)</f>
        <v>100</v>
      </c>
      <c r="G332" s="24">
        <f>SUM(G329:G331)</f>
        <v>135</v>
      </c>
      <c r="H332" s="24">
        <f>SUM(H329:H331)</f>
        <v>198.5</v>
      </c>
      <c r="I332" s="24">
        <f>SUM(I329:I331)</f>
        <v>258.35000000000002</v>
      </c>
      <c r="J332" s="24">
        <f>SUM(J329:J331)</f>
        <v>314.185</v>
      </c>
    </row>
    <row r="334" spans="2:10" x14ac:dyDescent="0.35">
      <c r="B334" t="s">
        <v>140</v>
      </c>
    </row>
    <row r="335" spans="2:10" x14ac:dyDescent="0.35">
      <c r="C335" t="str">
        <f>D253</f>
        <v>Equity</v>
      </c>
      <c r="F335" s="10">
        <f>F263</f>
        <v>50</v>
      </c>
      <c r="G335" s="10">
        <f>G263</f>
        <v>0</v>
      </c>
      <c r="H335" s="10">
        <f>H263</f>
        <v>0</v>
      </c>
      <c r="I335" s="10">
        <f>I263</f>
        <v>0</v>
      </c>
      <c r="J335" s="10">
        <f>J263</f>
        <v>0</v>
      </c>
    </row>
    <row r="336" spans="2:10" x14ac:dyDescent="0.35">
      <c r="C336" t="str">
        <f>D278</f>
        <v>Sub Debt</v>
      </c>
      <c r="F336" s="10">
        <f>F287</f>
        <v>50</v>
      </c>
      <c r="G336" s="10">
        <f>G287</f>
        <v>130</v>
      </c>
      <c r="H336" s="10">
        <f>H287</f>
        <v>59.284706464035366</v>
      </c>
      <c r="I336" s="10">
        <f>I287</f>
        <v>0</v>
      </c>
      <c r="J336" s="10">
        <f>J287</f>
        <v>0</v>
      </c>
    </row>
    <row r="337" spans="3:19" x14ac:dyDescent="0.35">
      <c r="C337" t="str">
        <f>D305</f>
        <v>Senior Debt</v>
      </c>
      <c r="F337" s="10">
        <f>F315</f>
        <v>0</v>
      </c>
      <c r="G337" s="10">
        <f>G315</f>
        <v>0</v>
      </c>
      <c r="H337" s="10">
        <f>H315</f>
        <v>120.71529353596463</v>
      </c>
      <c r="I337" s="10">
        <f>I315</f>
        <v>220</v>
      </c>
      <c r="J337" s="10">
        <f>J315</f>
        <v>250</v>
      </c>
    </row>
    <row r="338" spans="3:19" x14ac:dyDescent="0.35">
      <c r="C338" t="str">
        <f>C335&amp;" Capitalised Interest and Fees"</f>
        <v>Equity Capitalised Interest and Fees</v>
      </c>
      <c r="F338" s="10">
        <f>F269</f>
        <v>0</v>
      </c>
      <c r="G338" s="10">
        <f>G269</f>
        <v>0</v>
      </c>
      <c r="H338" s="10">
        <f>H269</f>
        <v>0</v>
      </c>
      <c r="I338" s="10">
        <f>I269</f>
        <v>0</v>
      </c>
      <c r="J338" s="10">
        <f>J269</f>
        <v>0</v>
      </c>
    </row>
    <row r="339" spans="3:19" x14ac:dyDescent="0.35">
      <c r="C339" t="str">
        <f>C336&amp;" Capitalised Interest and Fees"</f>
        <v>Sub Debt Capitalised Interest and Fees</v>
      </c>
      <c r="F339" s="10">
        <f>F293</f>
        <v>0</v>
      </c>
      <c r="G339" s="10">
        <f>G293</f>
        <v>5</v>
      </c>
      <c r="H339" s="10">
        <f>H293</f>
        <v>18.5</v>
      </c>
      <c r="I339" s="10">
        <f>I293</f>
        <v>26.278470646403537</v>
      </c>
      <c r="J339" s="10">
        <f>J293</f>
        <v>28.906317711043894</v>
      </c>
    </row>
    <row r="340" spans="3:19" x14ac:dyDescent="0.35">
      <c r="C340" t="str">
        <f>C337&amp;" Capitalised Interest and Fees"</f>
        <v>Senior Debt Capitalised Interest and Fees</v>
      </c>
      <c r="F340" s="10">
        <f>F321</f>
        <v>0</v>
      </c>
      <c r="G340" s="10">
        <f>G321</f>
        <v>0</v>
      </c>
      <c r="H340" s="10">
        <f>H321</f>
        <v>0</v>
      </c>
      <c r="I340" s="10">
        <f>I321</f>
        <v>12.071529353596464</v>
      </c>
      <c r="J340" s="10">
        <f>J321</f>
        <v>35.278682288956112</v>
      </c>
    </row>
    <row r="341" spans="3:19" ht="15" thickBot="1" x14ac:dyDescent="0.4">
      <c r="D341" s="23" t="s">
        <v>4</v>
      </c>
      <c r="E341" s="23"/>
      <c r="F341" s="24">
        <f>SUM(F335:F340)</f>
        <v>100</v>
      </c>
      <c r="G341" s="24">
        <f>SUM(G335:G340)</f>
        <v>135</v>
      </c>
      <c r="H341" s="24">
        <f>SUM(H335:H340)</f>
        <v>198.5</v>
      </c>
      <c r="I341" s="24">
        <f>SUM(I335:I340)</f>
        <v>258.35000000000002</v>
      </c>
      <c r="J341" s="24">
        <f>SUM(J335:J340)</f>
        <v>314.185</v>
      </c>
    </row>
    <row r="344" spans="3:19" x14ac:dyDescent="0.35">
      <c r="C344" t="s">
        <v>148</v>
      </c>
      <c r="K344" s="10">
        <v>130</v>
      </c>
      <c r="L344" s="10">
        <f>K344*1.03</f>
        <v>133.9</v>
      </c>
      <c r="M344" s="10">
        <f t="shared" ref="M344:S344" si="9">L344*1.03</f>
        <v>137.917</v>
      </c>
      <c r="N344" s="10">
        <f t="shared" si="9"/>
        <v>142.05450999999999</v>
      </c>
      <c r="O344" s="10">
        <f t="shared" si="9"/>
        <v>146.31614529999999</v>
      </c>
      <c r="P344" s="10">
        <f t="shared" si="9"/>
        <v>150.70562965899998</v>
      </c>
      <c r="Q344" s="10">
        <f t="shared" si="9"/>
        <v>155.22679854876998</v>
      </c>
      <c r="R344" s="10">
        <f t="shared" si="9"/>
        <v>159.88360250523309</v>
      </c>
      <c r="S344" s="10">
        <f t="shared" si="9"/>
        <v>164.68011058039008</v>
      </c>
    </row>
    <row r="345" spans="3:19" x14ac:dyDescent="0.35">
      <c r="C345" t="s">
        <v>44</v>
      </c>
      <c r="K345">
        <f t="shared" ref="K345:S345" si="10">$L$223</f>
        <v>1.3</v>
      </c>
      <c r="L345">
        <f t="shared" si="10"/>
        <v>1.3</v>
      </c>
      <c r="M345">
        <f t="shared" si="10"/>
        <v>1.3</v>
      </c>
      <c r="N345">
        <f t="shared" si="10"/>
        <v>1.3</v>
      </c>
      <c r="O345">
        <f t="shared" si="10"/>
        <v>1.3</v>
      </c>
      <c r="P345">
        <f t="shared" si="10"/>
        <v>1.3</v>
      </c>
      <c r="Q345">
        <f t="shared" si="10"/>
        <v>1.3</v>
      </c>
      <c r="R345">
        <f t="shared" si="10"/>
        <v>1.3</v>
      </c>
      <c r="S345">
        <f t="shared" si="10"/>
        <v>1.3</v>
      </c>
    </row>
    <row r="346" spans="3:19" x14ac:dyDescent="0.35">
      <c r="C346" t="s">
        <v>149</v>
      </c>
      <c r="K346" s="10">
        <f t="shared" ref="K346:S346" si="11">K344/K345</f>
        <v>100</v>
      </c>
      <c r="L346" s="10">
        <f t="shared" si="11"/>
        <v>103</v>
      </c>
      <c r="M346" s="10">
        <f t="shared" si="11"/>
        <v>106.09</v>
      </c>
      <c r="N346" s="10">
        <f t="shared" si="11"/>
        <v>109.27269999999999</v>
      </c>
      <c r="O346" s="10">
        <f t="shared" si="11"/>
        <v>112.55088099999999</v>
      </c>
      <c r="P346" s="10">
        <f t="shared" si="11"/>
        <v>115.92740742999999</v>
      </c>
      <c r="Q346" s="10">
        <f t="shared" si="11"/>
        <v>119.40522965289998</v>
      </c>
      <c r="R346" s="10">
        <f t="shared" si="11"/>
        <v>122.98738654248699</v>
      </c>
      <c r="S346" s="10">
        <f t="shared" si="11"/>
        <v>126.67700813876159</v>
      </c>
    </row>
    <row r="348" spans="3:19" x14ac:dyDescent="0.35">
      <c r="C348" t="s">
        <v>101</v>
      </c>
      <c r="K348" s="11">
        <f>P223</f>
        <v>0.1</v>
      </c>
      <c r="L348" s="11">
        <f t="shared" ref="L348:S348" si="12">K348</f>
        <v>0.1</v>
      </c>
      <c r="M348" s="11">
        <f t="shared" si="12"/>
        <v>0.1</v>
      </c>
      <c r="N348" s="11">
        <f t="shared" si="12"/>
        <v>0.1</v>
      </c>
      <c r="O348" s="11">
        <f t="shared" si="12"/>
        <v>0.1</v>
      </c>
      <c r="P348" s="11">
        <f t="shared" si="12"/>
        <v>0.1</v>
      </c>
      <c r="Q348" s="11">
        <f t="shared" si="12"/>
        <v>0.1</v>
      </c>
      <c r="R348" s="11">
        <f t="shared" si="12"/>
        <v>0.1</v>
      </c>
      <c r="S348" s="11">
        <f t="shared" si="12"/>
        <v>0.1</v>
      </c>
    </row>
    <row r="350" spans="3:19" x14ac:dyDescent="0.35">
      <c r="C350" t="s">
        <v>150</v>
      </c>
      <c r="E350" s="10">
        <f>NPV(K348,K346:S346)</f>
        <v>638.06971460247519</v>
      </c>
    </row>
    <row r="352" spans="3:19" x14ac:dyDescent="0.35">
      <c r="C352" t="s">
        <v>151</v>
      </c>
    </row>
    <row r="353" spans="4:19" x14ac:dyDescent="0.35">
      <c r="D353" t="s">
        <v>15</v>
      </c>
      <c r="K353" s="10">
        <f>J355</f>
        <v>638.06971460247519</v>
      </c>
      <c r="L353" s="10">
        <f t="shared" ref="L353:S353" si="13">K355</f>
        <v>601.87668606272268</v>
      </c>
      <c r="M353" s="10">
        <f t="shared" si="13"/>
        <v>559.06435466899495</v>
      </c>
      <c r="N353" s="10">
        <f t="shared" si="13"/>
        <v>508.88079013589447</v>
      </c>
      <c r="O353" s="10">
        <f t="shared" si="13"/>
        <v>450.49616914948393</v>
      </c>
      <c r="P353" s="10">
        <f t="shared" si="13"/>
        <v>382.99490506443237</v>
      </c>
      <c r="Q353" s="10">
        <f t="shared" si="13"/>
        <v>305.36698814087561</v>
      </c>
      <c r="R353" s="10">
        <f t="shared" si="13"/>
        <v>216.49845730206317</v>
      </c>
      <c r="S353" s="10">
        <f t="shared" si="13"/>
        <v>115.16091648978251</v>
      </c>
    </row>
    <row r="354" spans="4:19" x14ac:dyDescent="0.35">
      <c r="D354" t="s">
        <v>152</v>
      </c>
      <c r="K354" s="10">
        <f t="shared" ref="K354:S354" si="14">K346-K357</f>
        <v>36.193028539752476</v>
      </c>
      <c r="L354" s="10">
        <f t="shared" si="14"/>
        <v>42.812331393727732</v>
      </c>
      <c r="M354" s="10">
        <f t="shared" si="14"/>
        <v>50.183564533100508</v>
      </c>
      <c r="N354" s="10">
        <f t="shared" si="14"/>
        <v>58.384620986410539</v>
      </c>
      <c r="O354" s="10">
        <f t="shared" si="14"/>
        <v>67.501264085051588</v>
      </c>
      <c r="P354" s="10">
        <f t="shared" si="14"/>
        <v>77.627916923556739</v>
      </c>
      <c r="Q354" s="10">
        <f t="shared" si="14"/>
        <v>88.868530838812418</v>
      </c>
      <c r="R354" s="10">
        <f t="shared" si="14"/>
        <v>101.33754081228066</v>
      </c>
      <c r="S354" s="10">
        <f t="shared" si="14"/>
        <v>115.16091648978335</v>
      </c>
    </row>
    <row r="355" spans="4:19" x14ac:dyDescent="0.35">
      <c r="D355" t="s">
        <v>17</v>
      </c>
      <c r="J355" s="10">
        <f>E350</f>
        <v>638.06971460247519</v>
      </c>
      <c r="K355" s="10">
        <f>K353-K354</f>
        <v>601.87668606272268</v>
      </c>
      <c r="L355" s="10">
        <f t="shared" ref="L355:S355" si="15">L353-L354</f>
        <v>559.06435466899495</v>
      </c>
      <c r="M355" s="10">
        <f t="shared" si="15"/>
        <v>508.88079013589447</v>
      </c>
      <c r="N355" s="10">
        <f t="shared" si="15"/>
        <v>450.49616914948393</v>
      </c>
      <c r="O355" s="10">
        <f t="shared" si="15"/>
        <v>382.99490506443237</v>
      </c>
      <c r="P355" s="10">
        <f t="shared" si="15"/>
        <v>305.36698814087561</v>
      </c>
      <c r="Q355" s="10">
        <f t="shared" si="15"/>
        <v>216.49845730206317</v>
      </c>
      <c r="R355" s="10">
        <f t="shared" si="15"/>
        <v>115.16091648978251</v>
      </c>
      <c r="S355" s="10">
        <f t="shared" si="15"/>
        <v>-8.3844042819691822E-13</v>
      </c>
    </row>
    <row r="357" spans="4:19" x14ac:dyDescent="0.35">
      <c r="D357" t="s">
        <v>153</v>
      </c>
      <c r="K357" s="10">
        <f t="shared" ref="K357:S357" si="16">K353*K348</f>
        <v>63.806971460247524</v>
      </c>
      <c r="L357" s="10">
        <f t="shared" si="16"/>
        <v>60.187668606272268</v>
      </c>
      <c r="M357" s="10">
        <f t="shared" si="16"/>
        <v>55.906435466899495</v>
      </c>
      <c r="N357" s="10">
        <f t="shared" si="16"/>
        <v>50.888079013589447</v>
      </c>
      <c r="O357" s="10">
        <f t="shared" si="16"/>
        <v>45.049616914948395</v>
      </c>
      <c r="P357" s="10">
        <f t="shared" si="16"/>
        <v>38.299490506443242</v>
      </c>
      <c r="Q357" s="10">
        <f t="shared" si="16"/>
        <v>30.536698814087561</v>
      </c>
      <c r="R357" s="10">
        <f t="shared" si="16"/>
        <v>21.649845730206319</v>
      </c>
      <c r="S357" s="10">
        <f t="shared" si="16"/>
        <v>11.516091648978252</v>
      </c>
    </row>
  </sheetData>
  <dataValidations count="7">
    <dataValidation allowBlank="1" showInputMessage="1" showErrorMessage="1" promptTitle="Funding Requirements" prompt="In a very simple case where all interest is capitalised.  Here, with no taxes and no DSCR, the model can be solved with one single copy and paste." sqref="I225"/>
    <dataValidation allowBlank="1" showInputMessage="1" showErrorMessage="1" promptTitle="This is from Sculpting" prompt="In this exercise, the amount of debt is assumed to be given.  In other exercises this comes from the sculpting amount which in turn comes from the CADS" sqref="F223 F57"/>
    <dataValidation allowBlank="1" showInputMessage="1" showErrorMessage="1" promptTitle="Switch for Construction" prompt="Use this switch to sum the accumulated cap interest and fees for each  tranche and for other items with the sumproduct" sqref="F88:J88 C88 F244:J244 C244"/>
    <dataValidation allowBlank="1" showInputMessage="1" showErrorMessage="1" promptTitle="Code for Index" prompt="This is the code used for the index functions below.  It is computed from the MATCH key and it allows the funding cascade to be flexible" sqref="C98 C253"/>
    <dataValidation allowBlank="1" showInputMessage="1" showErrorMessage="1" promptTitle="Fees" prompt="In real model this would be the up-front fee, the commitment fee and the agency fee_x000a_" sqref="C120 F120:J120 E118:J119 C190 F190:J190 E188:J189"/>
    <dataValidation allowBlank="1" showInputMessage="1" showErrorMessage="1" promptTitle="Switch for End of Construction" prompt="Use this switch to get the total accumulated funding requirements" sqref="C89 F14:J14 C14 C87 F87:J87 F89:J89 C245 C243 F243:J243 F245:J245"/>
    <dataValidation allowBlank="1" showInputMessage="1" showErrorMessage="1" promptTitle="Sumproduct" prompt="Use multiplication with sumproduct because of the switch variable" sqref="F8"/>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336550</xdr:colOff>
                    <xdr:row>2</xdr:row>
                    <xdr:rowOff>69850</xdr:rowOff>
                  </from>
                  <to>
                    <xdr:col>11</xdr:col>
                    <xdr:colOff>692150</xdr:colOff>
                    <xdr:row>3</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527050</xdr:colOff>
                    <xdr:row>55</xdr:row>
                    <xdr:rowOff>44450</xdr:rowOff>
                  </from>
                  <to>
                    <xdr:col>15</xdr:col>
                    <xdr:colOff>25400</xdr:colOff>
                    <xdr:row>56</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1562100</xdr:colOff>
                    <xdr:row>147</xdr:row>
                    <xdr:rowOff>0</xdr:rowOff>
                  </from>
                  <to>
                    <xdr:col>3</xdr:col>
                    <xdr:colOff>1911350</xdr:colOff>
                    <xdr:row>147</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565150</xdr:colOff>
                    <xdr:row>55</xdr:row>
                    <xdr:rowOff>38100</xdr:rowOff>
                  </from>
                  <to>
                    <xdr:col>16</xdr:col>
                    <xdr:colOff>63500</xdr:colOff>
                    <xdr:row>56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1600200</xdr:colOff>
                    <xdr:row>154</xdr:row>
                    <xdr:rowOff>44450</xdr:rowOff>
                  </from>
                  <to>
                    <xdr:col>3</xdr:col>
                    <xdr:colOff>1816100</xdr:colOff>
                    <xdr:row>155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1828800</xdr:colOff>
                    <xdr:row>114</xdr:row>
                    <xdr:rowOff>6350</xdr:rowOff>
                  </from>
                  <to>
                    <xdr:col>3</xdr:col>
                    <xdr:colOff>2044700</xdr:colOff>
                    <xdr:row>114</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1873250</xdr:colOff>
                    <xdr:row>120</xdr:row>
                    <xdr:rowOff>25400</xdr:rowOff>
                  </from>
                  <to>
                    <xdr:col>3</xdr:col>
                    <xdr:colOff>2089150</xdr:colOff>
                    <xdr:row>120</xdr:row>
                    <xdr:rowOff>158750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1828800</xdr:colOff>
                    <xdr:row>184</xdr:row>
                    <xdr:rowOff>6350</xdr:rowOff>
                  </from>
                  <to>
                    <xdr:col>3</xdr:col>
                    <xdr:colOff>2044700</xdr:colOff>
                    <xdr:row>184</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1873250</xdr:colOff>
                    <xdr:row>190</xdr:row>
                    <xdr:rowOff>25400</xdr:rowOff>
                  </from>
                  <to>
                    <xdr:col>3</xdr:col>
                    <xdr:colOff>2089150</xdr:colOff>
                    <xdr:row>190</xdr:row>
                    <xdr:rowOff>158750</xdr:rowOff>
                  </to>
                </anchor>
              </controlPr>
            </control>
          </mc:Choice>
        </mc:AlternateContent>
        <mc:AlternateContent xmlns:mc="http://schemas.openxmlformats.org/markup-compatibility/2006">
          <mc:Choice Requires="x14">
            <control shapeId="1034" r:id="rId13" name="Button 10">
              <controlPr defaultSize="0" print="0" autoFill="0" autoPict="0">
                <anchor moveWithCells="1" sizeWithCells="1">
                  <from>
                    <xdr:col>7</xdr:col>
                    <xdr:colOff>654050</xdr:colOff>
                    <xdr:row>66</xdr:row>
                    <xdr:rowOff>152400</xdr:rowOff>
                  </from>
                  <to>
                    <xdr:col>10</xdr:col>
                    <xdr:colOff>292100</xdr:colOff>
                    <xdr:row>68</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1828800</xdr:colOff>
                    <xdr:row>320</xdr:row>
                    <xdr:rowOff>6350</xdr:rowOff>
                  </from>
                  <to>
                    <xdr:col>3</xdr:col>
                    <xdr:colOff>2044700</xdr:colOff>
                    <xdr:row>320</xdr:row>
                    <xdr:rowOff>152400</xdr:rowOff>
                  </to>
                </anchor>
              </controlPr>
            </control>
          </mc:Choice>
        </mc:AlternateContent>
        <mc:AlternateContent xmlns:mc="http://schemas.openxmlformats.org/markup-compatibility/2006">
          <mc:Choice Requires="x14">
            <control shapeId="1036" r:id="rId15" name="Button 12">
              <controlPr defaultSize="0" print="0" autoFill="0" autoPict="0">
                <anchor moveWithCells="1" sizeWithCells="1">
                  <from>
                    <xdr:col>8</xdr:col>
                    <xdr:colOff>641350</xdr:colOff>
                    <xdr:row>228</xdr:row>
                    <xdr:rowOff>63500</xdr:rowOff>
                  </from>
                  <to>
                    <xdr:col>11</xdr:col>
                    <xdr:colOff>44450</xdr:colOff>
                    <xdr:row>230</xdr:row>
                    <xdr:rowOff>146050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Points</vt:lpstr>
      <vt:lpstr>Blank Exercise</vt:lpstr>
      <vt:lpstr>Completed Exercise</vt:lpstr>
      <vt:lpstr>Comprehensive Example</vt:lpstr>
      <vt:lpstr>senior_to</vt:lpstr>
      <vt:lpstr>sr_diff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 Harding</dc:creator>
  <cp:lastModifiedBy>Monika Lewenski</cp:lastModifiedBy>
  <dcterms:created xsi:type="dcterms:W3CDTF">2014-12-31T12:39:11Z</dcterms:created>
  <dcterms:modified xsi:type="dcterms:W3CDTF">2017-01-01T23:25:04Z</dcterms:modified>
</cp:coreProperties>
</file>