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ormy daniels\Documents\"/>
    </mc:Choice>
  </mc:AlternateContent>
  <xr:revisionPtr revIDLastSave="0" documentId="13_ncr:1_{898F2F1A-7D58-4504-9F7F-7E793F7002EB}" xr6:coauthVersionLast="45" xr6:coauthVersionMax="45" xr10:uidLastSave="{00000000-0000-0000-0000-000000000000}"/>
  <bookViews>
    <workbookView xWindow="-110" yWindow="-110" windowWidth="19420" windowHeight="10420" xr2:uid="{48598938-6328-4707-A3D3-AFED5713CBE4}"/>
  </bookViews>
  <sheets>
    <sheet name="Sculpted Debt" sheetId="3" r:id="rId1"/>
    <sheet name="Fixed Debt Fees" sheetId="5" r:id="rId2"/>
    <sheet name="Fixed Debt" sheetId="2" r:id="rId3"/>
    <sheet name="Simple" sheetId="1" r:id="rId4"/>
  </sheets>
  <definedNames>
    <definedName name="Computed" localSheetId="1">'Fixed Debt Fees'!$C$49</definedName>
    <definedName name="Computed">'Sculpted Debt'!$C$64</definedName>
    <definedName name="Difference" localSheetId="2">'Fixed Debt'!$C$52</definedName>
    <definedName name="Difference" localSheetId="1">'Fixed Debt Fees'!$C$51</definedName>
    <definedName name="Difference">'Sculpted Debt'!$C$66</definedName>
    <definedName name="fixed" localSheetId="2">'Fixed Debt'!$C$50</definedName>
    <definedName name="Fixed" localSheetId="1">'Fixed Debt Fees'!$C$50</definedName>
    <definedName name="Fixed">'Sculpted Debt'!$C$65</definedName>
  </definedNames>
  <calcPr calcId="191029" calcMode="autoNoTable" iterate="1" iterateCount="2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3" l="1"/>
  <c r="C60" i="3"/>
  <c r="C59" i="3"/>
  <c r="C58" i="3"/>
  <c r="H45" i="3"/>
  <c r="C31" i="3"/>
  <c r="C13" i="3"/>
  <c r="F64" i="3"/>
  <c r="E48" i="3"/>
  <c r="E47" i="3"/>
  <c r="E46" i="3"/>
  <c r="O34" i="3"/>
  <c r="O37" i="3"/>
  <c r="E27" i="3"/>
  <c r="E29" i="3"/>
  <c r="E22" i="3"/>
  <c r="E21" i="3"/>
  <c r="N44" i="3" l="1"/>
  <c r="O44" i="3"/>
  <c r="P44" i="3"/>
  <c r="Q44" i="3"/>
  <c r="R44" i="3"/>
  <c r="F4" i="3"/>
  <c r="D55" i="3"/>
  <c r="E55" i="3" s="1"/>
  <c r="F55" i="3" s="1"/>
  <c r="G55" i="3" s="1"/>
  <c r="H55" i="3" s="1"/>
  <c r="I55" i="3" s="1"/>
  <c r="J55" i="3" l="1"/>
  <c r="K55" i="3" s="1"/>
  <c r="L55" i="3" s="1"/>
  <c r="M55" i="3" s="1"/>
  <c r="N55" i="3" s="1"/>
  <c r="O55" i="3" s="1"/>
  <c r="P55" i="3" s="1"/>
  <c r="Q55" i="3" s="1"/>
  <c r="R55" i="3" s="1"/>
  <c r="C12" i="3" l="1"/>
  <c r="C47" i="3" s="1"/>
  <c r="C25" i="5" l="1"/>
  <c r="D55" i="5"/>
  <c r="C44" i="5"/>
  <c r="D33" i="5"/>
  <c r="E33" i="5" s="1"/>
  <c r="F33" i="5" s="1"/>
  <c r="G33" i="5" s="1"/>
  <c r="H33" i="5" s="1"/>
  <c r="I33" i="5" s="1"/>
  <c r="J33" i="5" s="1"/>
  <c r="K33" i="5" s="1"/>
  <c r="L33" i="5" s="1"/>
  <c r="M33" i="5" s="1"/>
  <c r="D24" i="5"/>
  <c r="C20" i="5"/>
  <c r="C16" i="5"/>
  <c r="D16" i="5" s="1"/>
  <c r="D17" i="5" s="1"/>
  <c r="D11" i="5"/>
  <c r="D46" i="5" s="1"/>
  <c r="E10" i="5"/>
  <c r="E55" i="5" s="1"/>
  <c r="F5" i="5"/>
  <c r="F4" i="5"/>
  <c r="C13" i="5" l="1"/>
  <c r="E16" i="5"/>
  <c r="F16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F10" i="5"/>
  <c r="E11" i="5"/>
  <c r="E24" i="5"/>
  <c r="E17" i="5" l="1"/>
  <c r="F17" i="5" s="1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E46" i="5"/>
  <c r="F11" i="5"/>
  <c r="F24" i="5"/>
  <c r="G10" i="5"/>
  <c r="F55" i="5"/>
  <c r="F46" i="5" l="1"/>
  <c r="G11" i="5"/>
  <c r="G24" i="5"/>
  <c r="H10" i="5"/>
  <c r="G55" i="5"/>
  <c r="H24" i="5" l="1"/>
  <c r="I10" i="5"/>
  <c r="H55" i="5"/>
  <c r="H11" i="5"/>
  <c r="G46" i="5"/>
  <c r="I11" i="5" l="1"/>
  <c r="H46" i="5"/>
  <c r="J10" i="5"/>
  <c r="I24" i="5"/>
  <c r="I55" i="5"/>
  <c r="J55" i="5" l="1"/>
  <c r="K10" i="5"/>
  <c r="J24" i="5"/>
  <c r="J11" i="5"/>
  <c r="I46" i="5"/>
  <c r="K55" i="5" l="1"/>
  <c r="L10" i="5"/>
  <c r="K24" i="5"/>
  <c r="K11" i="5"/>
  <c r="J46" i="5"/>
  <c r="K46" i="5" l="1"/>
  <c r="L11" i="5"/>
  <c r="L55" i="5"/>
  <c r="L24" i="5"/>
  <c r="M10" i="5"/>
  <c r="M55" i="5" l="1"/>
  <c r="M24" i="5"/>
  <c r="N10" i="5"/>
  <c r="L46" i="5"/>
  <c r="M11" i="5"/>
  <c r="O10" i="5" l="1"/>
  <c r="N55" i="5"/>
  <c r="M46" i="5"/>
  <c r="N11" i="5"/>
  <c r="C24" i="5"/>
  <c r="P10" i="5" l="1"/>
  <c r="O55" i="5"/>
  <c r="N46" i="5"/>
  <c r="O11" i="5"/>
  <c r="P11" i="5" l="1"/>
  <c r="O46" i="5"/>
  <c r="Q10" i="5"/>
  <c r="P55" i="5"/>
  <c r="R10" i="5" l="1"/>
  <c r="Q55" i="5"/>
  <c r="Q11" i="5"/>
  <c r="P46" i="5"/>
  <c r="C18" i="5" l="1"/>
  <c r="C21" i="5" s="1"/>
  <c r="R11" i="5"/>
  <c r="Q46" i="5"/>
  <c r="R55" i="5"/>
  <c r="D20" i="5" l="1"/>
  <c r="E20" i="5"/>
  <c r="F20" i="5"/>
  <c r="G20" i="5"/>
  <c r="H20" i="5"/>
  <c r="I20" i="5"/>
  <c r="J20" i="5"/>
  <c r="K20" i="5"/>
  <c r="L20" i="5"/>
  <c r="M20" i="5"/>
  <c r="N20" i="5"/>
  <c r="N38" i="5" s="1"/>
  <c r="O20" i="5"/>
  <c r="O38" i="5" s="1"/>
  <c r="P20" i="5"/>
  <c r="P38" i="5" s="1"/>
  <c r="Q20" i="5"/>
  <c r="Q38" i="5" s="1"/>
  <c r="R20" i="5"/>
  <c r="R38" i="5" s="1"/>
  <c r="R46" i="5"/>
  <c r="C12" i="5"/>
  <c r="Q48" i="5" l="1"/>
  <c r="Q56" i="5"/>
  <c r="Q58" i="5" s="1"/>
  <c r="Q59" i="5" s="1"/>
  <c r="P56" i="5"/>
  <c r="P58" i="5" s="1"/>
  <c r="P59" i="5" s="1"/>
  <c r="P48" i="5"/>
  <c r="O56" i="5"/>
  <c r="O58" i="5" s="1"/>
  <c r="O59" i="5" s="1"/>
  <c r="O48" i="5"/>
  <c r="N48" i="5"/>
  <c r="N56" i="5"/>
  <c r="N58" i="5" s="1"/>
  <c r="N59" i="5" s="1"/>
  <c r="J4" i="5"/>
  <c r="K4" i="5" s="1"/>
  <c r="R56" i="5"/>
  <c r="R58" i="5" s="1"/>
  <c r="R59" i="5" s="1"/>
  <c r="R48" i="5"/>
  <c r="C30" i="5" l="1"/>
  <c r="C26" i="5"/>
  <c r="D26" i="5" l="1"/>
  <c r="E26" i="5"/>
  <c r="F26" i="5"/>
  <c r="G26" i="5"/>
  <c r="H26" i="5"/>
  <c r="I26" i="5"/>
  <c r="J26" i="5"/>
  <c r="K26" i="5"/>
  <c r="L26" i="5"/>
  <c r="M26" i="5"/>
  <c r="H4" i="5"/>
  <c r="D28" i="5"/>
  <c r="J38" i="5" l="1"/>
  <c r="I38" i="5"/>
  <c r="K38" i="5"/>
  <c r="K56" i="5" s="1"/>
  <c r="K58" i="5" s="1"/>
  <c r="K59" i="5" s="1"/>
  <c r="H38" i="5"/>
  <c r="G38" i="5"/>
  <c r="G56" i="5" s="1"/>
  <c r="G58" i="5" s="1"/>
  <c r="G59" i="5" s="1"/>
  <c r="D31" i="5"/>
  <c r="D32" i="5" s="1"/>
  <c r="D34" i="5" s="1"/>
  <c r="F38" i="5"/>
  <c r="M38" i="5"/>
  <c r="M56" i="5" s="1"/>
  <c r="M58" i="5" s="1"/>
  <c r="M59" i="5" s="1"/>
  <c r="E38" i="5"/>
  <c r="L38" i="5"/>
  <c r="D38" i="5"/>
  <c r="D56" i="5" s="1"/>
  <c r="D58" i="5" s="1"/>
  <c r="D59" i="5" s="1"/>
  <c r="D29" i="5" l="1"/>
  <c r="D30" i="5" s="1"/>
  <c r="E28" i="5" s="1"/>
  <c r="E31" i="5" s="1"/>
  <c r="L48" i="5"/>
  <c r="I48" i="5"/>
  <c r="M48" i="5"/>
  <c r="F48" i="5"/>
  <c r="I56" i="5"/>
  <c r="I58" i="5" s="1"/>
  <c r="I59" i="5" s="1"/>
  <c r="L56" i="5"/>
  <c r="L58" i="5" s="1"/>
  <c r="L59" i="5" s="1"/>
  <c r="H48" i="5"/>
  <c r="E48" i="5"/>
  <c r="F56" i="5"/>
  <c r="F58" i="5" s="1"/>
  <c r="F59" i="5" s="1"/>
  <c r="H56" i="5"/>
  <c r="H58" i="5" s="1"/>
  <c r="H59" i="5" s="1"/>
  <c r="J48" i="5"/>
  <c r="J56" i="5"/>
  <c r="J58" i="5" s="1"/>
  <c r="J59" i="5" s="1"/>
  <c r="G48" i="5"/>
  <c r="D48" i="5"/>
  <c r="C39" i="5"/>
  <c r="E56" i="5"/>
  <c r="E58" i="5" s="1"/>
  <c r="E59" i="5" s="1"/>
  <c r="K48" i="5"/>
  <c r="E32" i="5" l="1"/>
  <c r="E34" i="5" s="1"/>
  <c r="C43" i="5"/>
  <c r="C48" i="5"/>
  <c r="C49" i="5" s="1"/>
  <c r="C51" i="5" s="1"/>
  <c r="E29" i="5" l="1"/>
  <c r="E30" i="5" s="1"/>
  <c r="F28" i="5" s="1"/>
  <c r="F31" i="5" s="1"/>
  <c r="H5" i="5"/>
  <c r="H6" i="5" s="1"/>
  <c r="D41" i="5"/>
  <c r="F32" i="5" l="1"/>
  <c r="F34" i="5" s="1"/>
  <c r="D44" i="5"/>
  <c r="F29" i="5" l="1"/>
  <c r="F30" i="5" s="1"/>
  <c r="G28" i="5" s="1"/>
  <c r="G31" i="5" s="1"/>
  <c r="D45" i="5"/>
  <c r="D42" i="5" s="1"/>
  <c r="D43" i="5" s="1"/>
  <c r="E41" i="5" s="1"/>
  <c r="G32" i="5" l="1"/>
  <c r="G34" i="5" s="1"/>
  <c r="E44" i="5"/>
  <c r="G29" i="5" l="1"/>
  <c r="G30" i="5" s="1"/>
  <c r="H28" i="5" s="1"/>
  <c r="H31" i="5" s="1"/>
  <c r="E45" i="5"/>
  <c r="E42" i="5" s="1"/>
  <c r="E43" i="5" s="1"/>
  <c r="F41" i="5" s="1"/>
  <c r="H32" i="5" l="1"/>
  <c r="H34" i="5" s="1"/>
  <c r="F44" i="5"/>
  <c r="H29" i="5" l="1"/>
  <c r="H30" i="5" s="1"/>
  <c r="I28" i="5" s="1"/>
  <c r="I31" i="5" s="1"/>
  <c r="F45" i="5"/>
  <c r="F42" i="5" s="1"/>
  <c r="F43" i="5" s="1"/>
  <c r="G41" i="5" s="1"/>
  <c r="I32" i="5" l="1"/>
  <c r="I34" i="5" s="1"/>
  <c r="G44" i="5"/>
  <c r="I29" i="5" l="1"/>
  <c r="I30" i="5" s="1"/>
  <c r="J28" i="5" s="1"/>
  <c r="J31" i="5" s="1"/>
  <c r="G45" i="5"/>
  <c r="G42" i="5" s="1"/>
  <c r="G43" i="5" s="1"/>
  <c r="H41" i="5" s="1"/>
  <c r="J32" i="5" l="1"/>
  <c r="J34" i="5" s="1"/>
  <c r="H44" i="5"/>
  <c r="J29" i="5" l="1"/>
  <c r="J30" i="5" s="1"/>
  <c r="K28" i="5" s="1"/>
  <c r="K31" i="5" s="1"/>
  <c r="H45" i="5"/>
  <c r="H42" i="5" s="1"/>
  <c r="H43" i="5" s="1"/>
  <c r="I41" i="5" s="1"/>
  <c r="K32" i="5" l="1"/>
  <c r="K34" i="5" s="1"/>
  <c r="I44" i="5"/>
  <c r="K29" i="5" l="1"/>
  <c r="K30" i="5" s="1"/>
  <c r="L28" i="5" s="1"/>
  <c r="L31" i="5" s="1"/>
  <c r="I45" i="5"/>
  <c r="I42" i="5" s="1"/>
  <c r="I43" i="5" s="1"/>
  <c r="J41" i="5" s="1"/>
  <c r="J44" i="5" l="1"/>
  <c r="L32" i="5"/>
  <c r="L34" i="5" s="1"/>
  <c r="L29" i="5" l="1"/>
  <c r="L30" i="5" s="1"/>
  <c r="M28" i="5" s="1"/>
  <c r="M31" i="5" s="1"/>
  <c r="J45" i="5"/>
  <c r="J42" i="5" s="1"/>
  <c r="J43" i="5" s="1"/>
  <c r="K41" i="5" s="1"/>
  <c r="K44" i="5" l="1"/>
  <c r="M32" i="5"/>
  <c r="M34" i="5" s="1"/>
  <c r="M29" i="5" l="1"/>
  <c r="M30" i="5" s="1"/>
  <c r="K45" i="5"/>
  <c r="K42" i="5" s="1"/>
  <c r="K43" i="5" s="1"/>
  <c r="L41" i="5" s="1"/>
  <c r="L44" i="5" l="1"/>
  <c r="L45" i="5" l="1"/>
  <c r="L42" i="5" s="1"/>
  <c r="L43" i="5" s="1"/>
  <c r="M41" i="5" s="1"/>
  <c r="M44" i="5" l="1"/>
  <c r="M45" i="5" l="1"/>
  <c r="M42" i="5" s="1"/>
  <c r="M43" i="5" s="1"/>
  <c r="N41" i="5" s="1"/>
  <c r="N44" i="5" l="1"/>
  <c r="N45" i="5" l="1"/>
  <c r="N42" i="5" s="1"/>
  <c r="N43" i="5" s="1"/>
  <c r="O41" i="5" s="1"/>
  <c r="O44" i="5" l="1"/>
  <c r="O45" i="5" l="1"/>
  <c r="O42" i="5" s="1"/>
  <c r="O43" i="5" s="1"/>
  <c r="P41" i="5" s="1"/>
  <c r="P44" i="5" l="1"/>
  <c r="P45" i="5" l="1"/>
  <c r="P42" i="5" s="1"/>
  <c r="P43" i="5" s="1"/>
  <c r="Q41" i="5" s="1"/>
  <c r="Q44" i="5" l="1"/>
  <c r="Q45" i="5" l="1"/>
  <c r="Q42" i="5" s="1"/>
  <c r="Q43" i="5" s="1"/>
  <c r="R41" i="5" s="1"/>
  <c r="R44" i="5" l="1"/>
  <c r="R45" i="5" l="1"/>
  <c r="R42" i="5" s="1"/>
  <c r="R43" i="5" s="1"/>
  <c r="D38" i="3" l="1"/>
  <c r="E38" i="3" s="1"/>
  <c r="F38" i="3" s="1"/>
  <c r="G38" i="3" s="1"/>
  <c r="H38" i="3" s="1"/>
  <c r="I38" i="3" s="1"/>
  <c r="J38" i="3" s="1"/>
  <c r="K38" i="3" s="1"/>
  <c r="L38" i="3" s="1"/>
  <c r="M38" i="3" s="1"/>
  <c r="C10" i="2" l="1"/>
  <c r="H6" i="2" s="1"/>
  <c r="C42" i="2"/>
  <c r="F5" i="2"/>
  <c r="F6" i="2"/>
  <c r="C14" i="2" s="1"/>
  <c r="C23" i="2"/>
  <c r="C22" i="2"/>
  <c r="D70" i="3"/>
  <c r="F5" i="3"/>
  <c r="C14" i="3" s="1"/>
  <c r="H5" i="2" l="1"/>
  <c r="C53" i="3"/>
  <c r="D55" i="2" l="1"/>
  <c r="C27" i="2"/>
  <c r="D27" i="2" s="1"/>
  <c r="N35" i="2"/>
  <c r="O35" i="2"/>
  <c r="P35" i="2"/>
  <c r="Q35" i="2"/>
  <c r="R35" i="2"/>
  <c r="C32" i="2"/>
  <c r="C41" i="2"/>
  <c r="C17" i="3"/>
  <c r="C20" i="3"/>
  <c r="D20" i="3" s="1"/>
  <c r="D43" i="3" s="1"/>
  <c r="D25" i="3"/>
  <c r="E10" i="3"/>
  <c r="D16" i="2"/>
  <c r="G6" i="2"/>
  <c r="C15" i="2" s="1"/>
  <c r="C21" i="2" s="1"/>
  <c r="D19" i="2" s="1"/>
  <c r="D22" i="2" s="1"/>
  <c r="D23" i="2" s="1"/>
  <c r="G5" i="2"/>
  <c r="E12" i="2"/>
  <c r="F12" i="2" s="1"/>
  <c r="F16" i="2" s="1"/>
  <c r="C29" i="1"/>
  <c r="D27" i="1" s="1"/>
  <c r="C18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D6" i="1"/>
  <c r="D8" i="1" s="1"/>
  <c r="E4" i="1"/>
  <c r="E25" i="3" l="1"/>
  <c r="E70" i="3"/>
  <c r="E55" i="2"/>
  <c r="F55" i="2"/>
  <c r="G7" i="2"/>
  <c r="D28" i="2"/>
  <c r="D17" i="3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E20" i="3"/>
  <c r="E43" i="3" s="1"/>
  <c r="F10" i="3"/>
  <c r="E27" i="2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E16" i="2"/>
  <c r="G12" i="2"/>
  <c r="G55" i="2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D30" i="1"/>
  <c r="F4" i="1"/>
  <c r="F20" i="3" l="1"/>
  <c r="F43" i="3" s="1"/>
  <c r="F70" i="3"/>
  <c r="D18" i="3"/>
  <c r="G10" i="3"/>
  <c r="F25" i="3"/>
  <c r="E28" i="2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G16" i="2"/>
  <c r="H12" i="2"/>
  <c r="H55" i="2" s="1"/>
  <c r="G4" i="1"/>
  <c r="E18" i="3" l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G20" i="3"/>
  <c r="G43" i="3" s="1"/>
  <c r="G70" i="3"/>
  <c r="H10" i="3"/>
  <c r="G25" i="3"/>
  <c r="H16" i="2"/>
  <c r="I12" i="2"/>
  <c r="I55" i="2" s="1"/>
  <c r="H4" i="1"/>
  <c r="H20" i="3" l="1"/>
  <c r="H43" i="3" s="1"/>
  <c r="H70" i="3"/>
  <c r="H25" i="3"/>
  <c r="I10" i="3"/>
  <c r="I16" i="2"/>
  <c r="J12" i="2"/>
  <c r="J55" i="2" s="1"/>
  <c r="I4" i="1"/>
  <c r="I20" i="3" l="1"/>
  <c r="I43" i="3" s="1"/>
  <c r="I70" i="3"/>
  <c r="I25" i="3"/>
  <c r="J10" i="3"/>
  <c r="J16" i="2"/>
  <c r="K12" i="2"/>
  <c r="K55" i="2" s="1"/>
  <c r="J4" i="1"/>
  <c r="J20" i="3" l="1"/>
  <c r="J43" i="3" s="1"/>
  <c r="J70" i="3"/>
  <c r="K10" i="3"/>
  <c r="J25" i="3"/>
  <c r="K16" i="2"/>
  <c r="L12" i="2"/>
  <c r="L55" i="2" s="1"/>
  <c r="K4" i="1"/>
  <c r="K20" i="3" l="1"/>
  <c r="K43" i="3" s="1"/>
  <c r="K70" i="3"/>
  <c r="K25" i="3"/>
  <c r="L10" i="3"/>
  <c r="L16" i="2"/>
  <c r="M12" i="2"/>
  <c r="M55" i="2" s="1"/>
  <c r="L4" i="1"/>
  <c r="L20" i="3" l="1"/>
  <c r="L43" i="3" s="1"/>
  <c r="L70" i="3"/>
  <c r="L25" i="3"/>
  <c r="M10" i="3"/>
  <c r="M16" i="2"/>
  <c r="C16" i="2" s="1"/>
  <c r="N12" i="2"/>
  <c r="N55" i="2" s="1"/>
  <c r="M4" i="1"/>
  <c r="M20" i="3" l="1"/>
  <c r="M43" i="3" s="1"/>
  <c r="M70" i="3"/>
  <c r="C17" i="2"/>
  <c r="H17" i="2" s="1"/>
  <c r="H35" i="2" s="1"/>
  <c r="N10" i="3"/>
  <c r="M25" i="3"/>
  <c r="C25" i="3" s="1"/>
  <c r="O12" i="2"/>
  <c r="O55" i="2" s="1"/>
  <c r="N4" i="1"/>
  <c r="N20" i="3" l="1"/>
  <c r="N70" i="3"/>
  <c r="D17" i="2"/>
  <c r="D20" i="2" s="1"/>
  <c r="I17" i="2"/>
  <c r="J17" i="2"/>
  <c r="M17" i="2"/>
  <c r="M35" i="2" s="1"/>
  <c r="L17" i="2"/>
  <c r="L35" i="2" s="1"/>
  <c r="F17" i="2"/>
  <c r="F35" i="2" s="1"/>
  <c r="G17" i="2"/>
  <c r="G35" i="2" s="1"/>
  <c r="E17" i="2"/>
  <c r="K17" i="2"/>
  <c r="K35" i="2" s="1"/>
  <c r="O10" i="3"/>
  <c r="P12" i="2"/>
  <c r="P55" i="2" s="1"/>
  <c r="O4" i="1"/>
  <c r="N43" i="3" l="1"/>
  <c r="N45" i="3" s="1"/>
  <c r="N71" i="3" s="1"/>
  <c r="O20" i="3"/>
  <c r="O70" i="3"/>
  <c r="E35" i="2"/>
  <c r="J35" i="2"/>
  <c r="I35" i="2"/>
  <c r="D35" i="2"/>
  <c r="D21" i="2"/>
  <c r="E19" i="2" s="1"/>
  <c r="E22" i="2" s="1"/>
  <c r="E23" i="2" s="1"/>
  <c r="P10" i="3"/>
  <c r="Q12" i="2"/>
  <c r="Q55" i="2" s="1"/>
  <c r="P4" i="1"/>
  <c r="O43" i="3" l="1"/>
  <c r="O45" i="3" s="1"/>
  <c r="O71" i="3" s="1"/>
  <c r="N63" i="3"/>
  <c r="E20" i="2"/>
  <c r="E21" i="2" s="1"/>
  <c r="F19" i="2" s="1"/>
  <c r="F22" i="2" s="1"/>
  <c r="F23" i="2" s="1"/>
  <c r="P20" i="3"/>
  <c r="P70" i="3"/>
  <c r="Q10" i="3"/>
  <c r="R12" i="2"/>
  <c r="Q4" i="1"/>
  <c r="O63" i="3" l="1"/>
  <c r="P43" i="3"/>
  <c r="P45" i="3" s="1"/>
  <c r="P71" i="3" s="1"/>
  <c r="P63" i="3"/>
  <c r="Q20" i="3"/>
  <c r="Q70" i="3"/>
  <c r="F20" i="2"/>
  <c r="F21" i="2" s="1"/>
  <c r="G19" i="2" s="1"/>
  <c r="G22" i="2" s="1"/>
  <c r="C31" i="2"/>
  <c r="R55" i="2"/>
  <c r="R10" i="3"/>
  <c r="R4" i="1"/>
  <c r="Q43" i="3" l="1"/>
  <c r="Q45" i="3" s="1"/>
  <c r="Q71" i="3" s="1"/>
  <c r="R20" i="3"/>
  <c r="R70" i="3"/>
  <c r="G23" i="2"/>
  <c r="G20" i="2" s="1"/>
  <c r="C34" i="2"/>
  <c r="C33" i="2"/>
  <c r="C10" i="1"/>
  <c r="C14" i="1" s="1"/>
  <c r="C16" i="1" s="1"/>
  <c r="C21" i="3" l="1"/>
  <c r="C22" i="3" s="1"/>
  <c r="C27" i="3" s="1"/>
  <c r="C35" i="3" s="1"/>
  <c r="H5" i="3" s="1"/>
  <c r="R43" i="3"/>
  <c r="R45" i="3" s="1"/>
  <c r="Q63" i="3"/>
  <c r="R71" i="3"/>
  <c r="G21" i="2"/>
  <c r="H19" i="2" s="1"/>
  <c r="H22" i="2" s="1"/>
  <c r="F34" i="2"/>
  <c r="D34" i="2"/>
  <c r="E34" i="2"/>
  <c r="G34" i="2"/>
  <c r="H34" i="2"/>
  <c r="I34" i="2"/>
  <c r="J34" i="2"/>
  <c r="K34" i="2"/>
  <c r="L34" i="2"/>
  <c r="M34" i="2"/>
  <c r="N34" i="2"/>
  <c r="O34" i="2"/>
  <c r="P34" i="2"/>
  <c r="Q34" i="2"/>
  <c r="R34" i="2"/>
  <c r="E16" i="1"/>
  <c r="E18" i="1" s="1"/>
  <c r="D16" i="1"/>
  <c r="D18" i="1" s="1"/>
  <c r="F16" i="1"/>
  <c r="F18" i="1" s="1"/>
  <c r="G16" i="1"/>
  <c r="G18" i="1" s="1"/>
  <c r="H16" i="1"/>
  <c r="H18" i="1" s="1"/>
  <c r="I16" i="1"/>
  <c r="I18" i="1" s="1"/>
  <c r="J16" i="1"/>
  <c r="J18" i="1" s="1"/>
  <c r="K16" i="1"/>
  <c r="K18" i="1" s="1"/>
  <c r="L16" i="1"/>
  <c r="L18" i="1" s="1"/>
  <c r="M16" i="1"/>
  <c r="M18" i="1" s="1"/>
  <c r="N16" i="1"/>
  <c r="N18" i="1" s="1"/>
  <c r="O16" i="1"/>
  <c r="O18" i="1" s="1"/>
  <c r="P16" i="1"/>
  <c r="P18" i="1" s="1"/>
  <c r="Q16" i="1"/>
  <c r="Q18" i="1" s="1"/>
  <c r="R16" i="1"/>
  <c r="R18" i="1" s="1"/>
  <c r="J4" i="3" l="1"/>
  <c r="K4" i="3" s="1"/>
  <c r="C29" i="3"/>
  <c r="G31" i="3" s="1"/>
  <c r="G44" i="3" s="1"/>
  <c r="G45" i="3" s="1"/>
  <c r="R63" i="3"/>
  <c r="H23" i="2"/>
  <c r="H20" i="2" s="1"/>
  <c r="P46" i="2"/>
  <c r="P36" i="2"/>
  <c r="P44" i="2" s="1"/>
  <c r="P56" i="2" s="1"/>
  <c r="P57" i="2" s="1"/>
  <c r="G46" i="2"/>
  <c r="G36" i="2"/>
  <c r="G44" i="2" s="1"/>
  <c r="G56" i="2" s="1"/>
  <c r="G57" i="2" s="1"/>
  <c r="N46" i="2"/>
  <c r="N36" i="2"/>
  <c r="N44" i="2" s="1"/>
  <c r="N56" i="2" s="1"/>
  <c r="N57" i="2" s="1"/>
  <c r="E46" i="2"/>
  <c r="E36" i="2"/>
  <c r="H46" i="2"/>
  <c r="H36" i="2"/>
  <c r="H44" i="2" s="1"/>
  <c r="H56" i="2" s="1"/>
  <c r="H57" i="2" s="1"/>
  <c r="O46" i="2"/>
  <c r="O36" i="2"/>
  <c r="O44" i="2" s="1"/>
  <c r="O56" i="2" s="1"/>
  <c r="O57" i="2" s="1"/>
  <c r="M46" i="2"/>
  <c r="M36" i="2"/>
  <c r="M44" i="2" s="1"/>
  <c r="M56" i="2" s="1"/>
  <c r="M57" i="2" s="1"/>
  <c r="D46" i="2"/>
  <c r="D36" i="2"/>
  <c r="L46" i="2"/>
  <c r="L36" i="2"/>
  <c r="L44" i="2" s="1"/>
  <c r="L56" i="2" s="1"/>
  <c r="L57" i="2" s="1"/>
  <c r="F46" i="2"/>
  <c r="F36" i="2"/>
  <c r="F44" i="2" s="1"/>
  <c r="F56" i="2" s="1"/>
  <c r="F57" i="2" s="1"/>
  <c r="K46" i="2"/>
  <c r="K36" i="2"/>
  <c r="K44" i="2" s="1"/>
  <c r="K56" i="2" s="1"/>
  <c r="K57" i="2" s="1"/>
  <c r="R46" i="2"/>
  <c r="R36" i="2"/>
  <c r="R44" i="2" s="1"/>
  <c r="R56" i="2" s="1"/>
  <c r="R57" i="2" s="1"/>
  <c r="J46" i="2"/>
  <c r="J36" i="2"/>
  <c r="J44" i="2" s="1"/>
  <c r="J56" i="2" s="1"/>
  <c r="J57" i="2" s="1"/>
  <c r="Q46" i="2"/>
  <c r="Q36" i="2"/>
  <c r="Q44" i="2" s="1"/>
  <c r="Q56" i="2" s="1"/>
  <c r="Q57" i="2" s="1"/>
  <c r="I46" i="2"/>
  <c r="I36" i="2"/>
  <c r="I44" i="2" s="1"/>
  <c r="I56" i="2" s="1"/>
  <c r="I57" i="2" s="1"/>
  <c r="C20" i="1"/>
  <c r="D22" i="1" s="1"/>
  <c r="D33" i="3" l="1"/>
  <c r="D36" i="3" s="1"/>
  <c r="D37" i="3" s="1"/>
  <c r="D39" i="3" s="1"/>
  <c r="G63" i="3"/>
  <c r="C36" i="2"/>
  <c r="C40" i="2" s="1"/>
  <c r="D38" i="2" s="1"/>
  <c r="D41" i="2" s="1"/>
  <c r="D42" i="2" s="1"/>
  <c r="D44" i="2"/>
  <c r="D56" i="2" s="1"/>
  <c r="D57" i="2" s="1"/>
  <c r="H21" i="2"/>
  <c r="I19" i="2" s="1"/>
  <c r="L31" i="3"/>
  <c r="L44" i="3" s="1"/>
  <c r="L45" i="3" s="1"/>
  <c r="H31" i="3"/>
  <c r="H44" i="3" s="1"/>
  <c r="D31" i="3"/>
  <c r="I31" i="3"/>
  <c r="I44" i="3" s="1"/>
  <c r="I45" i="3" s="1"/>
  <c r="E31" i="3"/>
  <c r="E44" i="3" s="1"/>
  <c r="E45" i="3" s="1"/>
  <c r="J31" i="3"/>
  <c r="J44" i="3" s="1"/>
  <c r="J45" i="3" s="1"/>
  <c r="M31" i="3"/>
  <c r="M44" i="3" s="1"/>
  <c r="M45" i="3" s="1"/>
  <c r="F31" i="3"/>
  <c r="F44" i="3" s="1"/>
  <c r="F45" i="3" s="1"/>
  <c r="K31" i="3"/>
  <c r="K44" i="3" s="1"/>
  <c r="K45" i="3" s="1"/>
  <c r="E44" i="2"/>
  <c r="E56" i="2" s="1"/>
  <c r="E57" i="2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D44" i="3" l="1"/>
  <c r="D45" i="3" s="1"/>
  <c r="D71" i="3" s="1"/>
  <c r="D34" i="3"/>
  <c r="D35" i="3" s="1"/>
  <c r="E33" i="3" s="1"/>
  <c r="E36" i="3" s="1"/>
  <c r="G71" i="3"/>
  <c r="F63" i="3"/>
  <c r="J63" i="3"/>
  <c r="K63" i="3"/>
  <c r="L63" i="3"/>
  <c r="M63" i="3"/>
  <c r="E71" i="3"/>
  <c r="I63" i="3"/>
  <c r="H63" i="3"/>
  <c r="C46" i="2"/>
  <c r="D39" i="2"/>
  <c r="I22" i="2"/>
  <c r="C24" i="1"/>
  <c r="H71" i="3" l="1"/>
  <c r="M71" i="3"/>
  <c r="F71" i="3"/>
  <c r="K71" i="3"/>
  <c r="L71" i="3"/>
  <c r="I71" i="3"/>
  <c r="J71" i="3"/>
  <c r="E63" i="3"/>
  <c r="D63" i="3"/>
  <c r="C46" i="3"/>
  <c r="I23" i="2"/>
  <c r="I20" i="2" s="1"/>
  <c r="I21" i="2" s="1"/>
  <c r="J19" i="2" s="1"/>
  <c r="J22" i="2" s="1"/>
  <c r="E37" i="3"/>
  <c r="C48" i="3" l="1"/>
  <c r="H4" i="3" s="1"/>
  <c r="E39" i="3"/>
  <c r="E34" i="3"/>
  <c r="E35" i="3" s="1"/>
  <c r="F33" i="3" s="1"/>
  <c r="F36" i="3" s="1"/>
  <c r="C52" i="3"/>
  <c r="C63" i="3" s="1"/>
  <c r="J23" i="2"/>
  <c r="H6" i="3" l="1"/>
  <c r="I4" i="3" s="1"/>
  <c r="D50" i="3"/>
  <c r="D53" i="3" s="1"/>
  <c r="F37" i="3"/>
  <c r="F39" i="3" s="1"/>
  <c r="J20" i="2"/>
  <c r="J21" i="2" s="1"/>
  <c r="K19" i="2" s="1"/>
  <c r="K22" i="2" s="1"/>
  <c r="D73" i="3"/>
  <c r="D74" i="3" s="1"/>
  <c r="F34" i="3" l="1"/>
  <c r="I5" i="3"/>
  <c r="D54" i="3"/>
  <c r="D51" i="3" s="1"/>
  <c r="D52" i="3" s="1"/>
  <c r="E50" i="3" s="1"/>
  <c r="F35" i="3"/>
  <c r="G33" i="3" s="1"/>
  <c r="G36" i="3" s="1"/>
  <c r="K23" i="2"/>
  <c r="G37" i="3" l="1"/>
  <c r="G39" i="3" s="1"/>
  <c r="E53" i="3"/>
  <c r="K20" i="2"/>
  <c r="K21" i="2" s="1"/>
  <c r="L19" i="2" s="1"/>
  <c r="L22" i="2" s="1"/>
  <c r="E73" i="3"/>
  <c r="E74" i="3" s="1"/>
  <c r="F73" i="3"/>
  <c r="F74" i="3" s="1"/>
  <c r="G34" i="3" l="1"/>
  <c r="G35" i="3" s="1"/>
  <c r="H33" i="3" s="1"/>
  <c r="H36" i="3" s="1"/>
  <c r="H37" i="3" s="1"/>
  <c r="H39" i="3" s="1"/>
  <c r="E54" i="3"/>
  <c r="E51" i="3" s="1"/>
  <c r="E52" i="3" s="1"/>
  <c r="F50" i="3" s="1"/>
  <c r="F53" i="3" s="1"/>
  <c r="F54" i="3" s="1"/>
  <c r="L23" i="2"/>
  <c r="G73" i="3"/>
  <c r="G74" i="3" s="1"/>
  <c r="H34" i="3" l="1"/>
  <c r="H35" i="3" s="1"/>
  <c r="I33" i="3" s="1"/>
  <c r="I36" i="3" s="1"/>
  <c r="I37" i="3" s="1"/>
  <c r="I39" i="3" s="1"/>
  <c r="F51" i="3"/>
  <c r="F52" i="3" s="1"/>
  <c r="G50" i="3" s="1"/>
  <c r="G53" i="3" s="1"/>
  <c r="L20" i="2"/>
  <c r="L21" i="2" s="1"/>
  <c r="M19" i="2" s="1"/>
  <c r="M22" i="2" s="1"/>
  <c r="H73" i="3"/>
  <c r="H74" i="3" s="1"/>
  <c r="I34" i="3" l="1"/>
  <c r="I35" i="3" s="1"/>
  <c r="J33" i="3" s="1"/>
  <c r="J36" i="3" s="1"/>
  <c r="J37" i="3" s="1"/>
  <c r="J39" i="3" s="1"/>
  <c r="G54" i="3"/>
  <c r="G51" i="3" s="1"/>
  <c r="G52" i="3" s="1"/>
  <c r="H50" i="3" s="1"/>
  <c r="H53" i="3" s="1"/>
  <c r="M23" i="2"/>
  <c r="M20" i="2" s="1"/>
  <c r="J34" i="3" l="1"/>
  <c r="J35" i="3" s="1"/>
  <c r="K33" i="3" s="1"/>
  <c r="K36" i="3" s="1"/>
  <c r="H54" i="3"/>
  <c r="H51" i="3" s="1"/>
  <c r="H52" i="3" s="1"/>
  <c r="I50" i="3" s="1"/>
  <c r="I53" i="3" s="1"/>
  <c r="M21" i="2"/>
  <c r="I73" i="3"/>
  <c r="I74" i="3" s="1"/>
  <c r="K37" i="3" l="1"/>
  <c r="K39" i="3" s="1"/>
  <c r="I54" i="3"/>
  <c r="I51" i="3" s="1"/>
  <c r="J73" i="3"/>
  <c r="J74" i="3" s="1"/>
  <c r="K34" i="3" l="1"/>
  <c r="K35" i="3" s="1"/>
  <c r="L33" i="3" s="1"/>
  <c r="I52" i="3"/>
  <c r="J50" i="3" s="1"/>
  <c r="K73" i="3"/>
  <c r="K74" i="3" s="1"/>
  <c r="L36" i="3" l="1"/>
  <c r="J53" i="3"/>
  <c r="L37" i="3" l="1"/>
  <c r="L39" i="3" s="1"/>
  <c r="J54" i="3"/>
  <c r="L73" i="3"/>
  <c r="L74" i="3" s="1"/>
  <c r="L34" i="3" l="1"/>
  <c r="L35" i="3" s="1"/>
  <c r="M33" i="3" s="1"/>
  <c r="M36" i="3" s="1"/>
  <c r="J51" i="3"/>
  <c r="J52" i="3" s="1"/>
  <c r="K50" i="3" s="1"/>
  <c r="K53" i="3" s="1"/>
  <c r="M37" i="3" l="1"/>
  <c r="M39" i="3" s="1"/>
  <c r="K54" i="3"/>
  <c r="K51" i="3" s="1"/>
  <c r="K52" i="3" s="1"/>
  <c r="L50" i="3" s="1"/>
  <c r="M73" i="3"/>
  <c r="M74" i="3" s="1"/>
  <c r="M34" i="3" l="1"/>
  <c r="M35" i="3" s="1"/>
  <c r="L53" i="3"/>
  <c r="N73" i="3"/>
  <c r="N74" i="3" s="1"/>
  <c r="L54" i="3" l="1"/>
  <c r="L51" i="3" s="1"/>
  <c r="O73" i="3"/>
  <c r="O74" i="3" s="1"/>
  <c r="D28" i="1"/>
  <c r="D29" i="1" s="1"/>
  <c r="E27" i="1" s="1"/>
  <c r="L52" i="3" l="1"/>
  <c r="M50" i="3" s="1"/>
  <c r="M53" i="3" s="1"/>
  <c r="E30" i="1"/>
  <c r="E28" i="1" s="1"/>
  <c r="E29" i="1" s="1"/>
  <c r="F27" i="1" s="1"/>
  <c r="F30" i="1" s="1"/>
  <c r="F28" i="1" s="1"/>
  <c r="F29" i="1" s="1"/>
  <c r="G27" i="1" s="1"/>
  <c r="M54" i="3" l="1"/>
  <c r="P73" i="3"/>
  <c r="P74" i="3" s="1"/>
  <c r="G30" i="1"/>
  <c r="G28" i="1" s="1"/>
  <c r="G29" i="1" s="1"/>
  <c r="H27" i="1" s="1"/>
  <c r="M51" i="3" l="1"/>
  <c r="M52" i="3" s="1"/>
  <c r="N50" i="3" s="1"/>
  <c r="N53" i="3" s="1"/>
  <c r="H30" i="1"/>
  <c r="H28" i="1" s="1"/>
  <c r="H29" i="1" s="1"/>
  <c r="I27" i="1" s="1"/>
  <c r="N54" i="3" l="1"/>
  <c r="N51" i="3" s="1"/>
  <c r="N52" i="3" s="1"/>
  <c r="O50" i="3" s="1"/>
  <c r="O53" i="3" s="1"/>
  <c r="Q73" i="3"/>
  <c r="Q74" i="3" s="1"/>
  <c r="R73" i="3"/>
  <c r="R74" i="3" s="1"/>
  <c r="I30" i="1"/>
  <c r="I28" i="1" s="1"/>
  <c r="I29" i="1" s="1"/>
  <c r="J27" i="1" s="1"/>
  <c r="O54" i="3" l="1"/>
  <c r="O51" i="3" s="1"/>
  <c r="C64" i="3"/>
  <c r="C66" i="3" s="1"/>
  <c r="J30" i="1"/>
  <c r="J28" i="1" s="1"/>
  <c r="J29" i="1" s="1"/>
  <c r="K27" i="1" s="1"/>
  <c r="O52" i="3" l="1"/>
  <c r="P50" i="3" s="1"/>
  <c r="K30" i="1"/>
  <c r="K28" i="1" s="1"/>
  <c r="K29" i="1" s="1"/>
  <c r="L27" i="1" s="1"/>
  <c r="P53" i="3" l="1"/>
  <c r="L30" i="1"/>
  <c r="L28" i="1" s="1"/>
  <c r="L29" i="1" s="1"/>
  <c r="M27" i="1" s="1"/>
  <c r="P54" i="3" l="1"/>
  <c r="M30" i="1"/>
  <c r="M28" i="1" s="1"/>
  <c r="M29" i="1" s="1"/>
  <c r="N27" i="1" s="1"/>
  <c r="P51" i="3" l="1"/>
  <c r="P52" i="3" s="1"/>
  <c r="Q50" i="3" s="1"/>
  <c r="Q53" i="3" s="1"/>
  <c r="N30" i="1"/>
  <c r="N28" i="1" s="1"/>
  <c r="N29" i="1" s="1"/>
  <c r="O27" i="1" s="1"/>
  <c r="Q54" i="3" l="1"/>
  <c r="Q51" i="3" s="1"/>
  <c r="Q52" i="3" s="1"/>
  <c r="R50" i="3" s="1"/>
  <c r="R53" i="3" s="1"/>
  <c r="O30" i="1"/>
  <c r="O28" i="1" s="1"/>
  <c r="O29" i="1" s="1"/>
  <c r="P27" i="1" s="1"/>
  <c r="R54" i="3" l="1"/>
  <c r="R51" i="3" s="1"/>
  <c r="P30" i="1"/>
  <c r="P28" i="1" s="1"/>
  <c r="P29" i="1" s="1"/>
  <c r="Q27" i="1" s="1"/>
  <c r="R52" i="3" l="1"/>
  <c r="Q30" i="1"/>
  <c r="Q28" i="1" s="1"/>
  <c r="Q29" i="1" s="1"/>
  <c r="R27" i="1" s="1"/>
  <c r="R30" i="1" l="1"/>
  <c r="R28" i="1" s="1"/>
  <c r="R29" i="1" s="1"/>
  <c r="C51" i="2" l="1"/>
  <c r="C52" i="2" s="1"/>
  <c r="C47" i="2"/>
  <c r="D48" i="2" s="1"/>
  <c r="D40" i="2"/>
  <c r="E38" i="2" s="1"/>
  <c r="E48" i="2" l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E41" i="2"/>
  <c r="E42" i="2" s="1"/>
  <c r="E39" i="2" l="1"/>
  <c r="E40" i="2" s="1"/>
  <c r="F38" i="2" s="1"/>
  <c r="F41" i="2" s="1"/>
  <c r="F42" i="2" s="1"/>
  <c r="F39" i="2" l="1"/>
  <c r="F40" i="2" s="1"/>
  <c r="G38" i="2" s="1"/>
  <c r="G41" i="2" s="1"/>
  <c r="G42" i="2" s="1"/>
  <c r="G39" i="2" l="1"/>
  <c r="G40" i="2" s="1"/>
  <c r="H38" i="2" s="1"/>
  <c r="H41" i="2" s="1"/>
  <c r="H42" i="2" s="1"/>
  <c r="H39" i="2" l="1"/>
  <c r="H40" i="2" s="1"/>
  <c r="I38" i="2" s="1"/>
  <c r="I41" i="2" s="1"/>
  <c r="I42" i="2" s="1"/>
  <c r="I39" i="2" l="1"/>
  <c r="I40" i="2" s="1"/>
  <c r="J38" i="2" s="1"/>
  <c r="J41" i="2" s="1"/>
  <c r="J42" i="2" s="1"/>
  <c r="J39" i="2" l="1"/>
  <c r="J40" i="2" s="1"/>
  <c r="K38" i="2" s="1"/>
  <c r="K41" i="2" s="1"/>
  <c r="K42" i="2" s="1"/>
  <c r="K39" i="2" l="1"/>
  <c r="K40" i="2" s="1"/>
  <c r="L38" i="2" s="1"/>
  <c r="L41" i="2" s="1"/>
  <c r="L42" i="2" s="1"/>
  <c r="L39" i="2" l="1"/>
  <c r="L40" i="2" s="1"/>
  <c r="M38" i="2" s="1"/>
  <c r="M41" i="2" s="1"/>
  <c r="M42" i="2" s="1"/>
  <c r="M39" i="2" l="1"/>
  <c r="M40" i="2" s="1"/>
  <c r="N38" i="2" s="1"/>
  <c r="N41" i="2" s="1"/>
  <c r="N42" i="2" s="1"/>
  <c r="N39" i="2" l="1"/>
  <c r="N40" i="2" s="1"/>
  <c r="O38" i="2" s="1"/>
  <c r="O41" i="2" s="1"/>
  <c r="O42" i="2" s="1"/>
  <c r="O39" i="2" l="1"/>
  <c r="O40" i="2" s="1"/>
  <c r="P38" i="2" s="1"/>
  <c r="P41" i="2" s="1"/>
  <c r="P42" i="2" s="1"/>
  <c r="P39" i="2" l="1"/>
  <c r="P40" i="2" s="1"/>
  <c r="Q38" i="2" s="1"/>
  <c r="Q41" i="2" s="1"/>
  <c r="Q42" i="2" s="1"/>
  <c r="Q39" i="2" l="1"/>
  <c r="Q40" i="2" s="1"/>
  <c r="R38" i="2" s="1"/>
  <c r="R41" i="2" s="1"/>
  <c r="R42" i="2" s="1"/>
  <c r="R39" i="2" l="1"/>
  <c r="R40" i="2" s="1"/>
</calcChain>
</file>

<file path=xl/sharedStrings.xml><?xml version="1.0" encoding="utf-8"?>
<sst xmlns="http://schemas.openxmlformats.org/spreadsheetml/2006/main" count="229" uniqueCount="105">
  <si>
    <t>CFADS</t>
  </si>
  <si>
    <t>Interest Rate</t>
  </si>
  <si>
    <t>Interest Rate Index</t>
  </si>
  <si>
    <t>PV of CFADS</t>
  </si>
  <si>
    <t>Debt</t>
  </si>
  <si>
    <t>LLCR</t>
  </si>
  <si>
    <t>Debt Service</t>
  </si>
  <si>
    <t>Debt IRR</t>
  </si>
  <si>
    <t>Debt Cash Flow</t>
  </si>
  <si>
    <t>Intrest Rate Index Debt IRR</t>
  </si>
  <si>
    <t>Debt Balance</t>
  </si>
  <si>
    <t>Opening Balance</t>
  </si>
  <si>
    <t>Less Repayment</t>
  </si>
  <si>
    <t>Closing Balance</t>
  </si>
  <si>
    <t>Interest</t>
  </si>
  <si>
    <t>Debt % 1</t>
  </si>
  <si>
    <t>Debt % 2</t>
  </si>
  <si>
    <t>Total Debt</t>
  </si>
  <si>
    <t>Total</t>
  </si>
  <si>
    <t>CFADS over Debt</t>
  </si>
  <si>
    <t>LLCR and Debt Service</t>
  </si>
  <si>
    <t>Compound Rate</t>
  </si>
  <si>
    <t>Remaining Debt Service</t>
  </si>
  <si>
    <t>PV at Issue Discount Rate</t>
  </si>
  <si>
    <t>Less: Repayment</t>
  </si>
  <si>
    <t>Target DSCR</t>
  </si>
  <si>
    <t>Total Debt Service</t>
  </si>
  <si>
    <t>PV of Total Debt Service</t>
  </si>
  <si>
    <t>Debt IRR Compted</t>
  </si>
  <si>
    <t>Debt IRR Fixed</t>
  </si>
  <si>
    <t>Difference</t>
  </si>
  <si>
    <t>Computed</t>
  </si>
  <si>
    <t>Fixed</t>
  </si>
  <si>
    <t>Debt Service Total</t>
  </si>
  <si>
    <t>IRR</t>
  </si>
  <si>
    <t>Fixed Debt IRR</t>
  </si>
  <si>
    <t>Computed Debt IRR</t>
  </si>
  <si>
    <t>Debt 2</t>
  </si>
  <si>
    <t>Debt Amount</t>
  </si>
  <si>
    <t>Less: Other Debt Service</t>
  </si>
  <si>
    <t>You need to put the negative of debt service at PV in the Debt IRR</t>
  </si>
  <si>
    <t>LLCR for Capture Issue is from the PV at debt IRR, not individual IRR</t>
  </si>
  <si>
    <t>DSCR</t>
  </si>
  <si>
    <t>Use the total Debt</t>
  </si>
  <si>
    <t>Debt 1 - Capture</t>
  </si>
  <si>
    <t>Inputs</t>
  </si>
  <si>
    <t>Witholding Rate</t>
  </si>
  <si>
    <t>Tenure</t>
  </si>
  <si>
    <t>Base</t>
  </si>
  <si>
    <t>Effective</t>
  </si>
  <si>
    <t>Aggregate</t>
  </si>
  <si>
    <t>Witholding</t>
  </si>
  <si>
    <t>Effective Rate</t>
  </si>
  <si>
    <t>Check</t>
  </si>
  <si>
    <t>Total Witholding Tax</t>
  </si>
  <si>
    <t>DSCR Check</t>
  </si>
  <si>
    <t>Pct of Debt</t>
  </si>
  <si>
    <t>Assumptions</t>
  </si>
  <si>
    <t>Amount</t>
  </si>
  <si>
    <t>PV of CFADS - Total</t>
  </si>
  <si>
    <t>LLCR for Debt Issue 1</t>
  </si>
  <si>
    <t>Debt Issue 1</t>
  </si>
  <si>
    <t>Overall Debt IRR</t>
  </si>
  <si>
    <t>Be careful with the effective rate</t>
  </si>
  <si>
    <t>fixed</t>
  </si>
  <si>
    <t>IRR with debt service and no adjustment</t>
  </si>
  <si>
    <t>LLCR computed from effective rate and Debt IRR</t>
  </si>
  <si>
    <t>Fees</t>
  </si>
  <si>
    <t>Compute Fees on Issue by Issue Basis</t>
  </si>
  <si>
    <t>Compute PV of Fees with witholding tax</t>
  </si>
  <si>
    <t>Do not Adjust Aggregate PV of Debt Service</t>
  </si>
  <si>
    <t>Do not Adjust the Debt IRR</t>
  </si>
  <si>
    <t>Subtract Fees from Repayment</t>
  </si>
  <si>
    <t>PV of Fees 1</t>
  </si>
  <si>
    <t>PV of Fees 2</t>
  </si>
  <si>
    <t>PV of DS</t>
  </si>
  <si>
    <t>After Fees</t>
  </si>
  <si>
    <t>Keep PV of Debt Service Separate</t>
  </si>
  <si>
    <t>PV of Debt Service do not account for Fees</t>
  </si>
  <si>
    <t>Don't adjust the total debt service for the fees</t>
  </si>
  <si>
    <t>Theory: Debt Service is given by cash flow and DSCR</t>
  </si>
  <si>
    <t>Total PV of Debt Service should be evaluated against the total debt service</t>
  </si>
  <si>
    <t>For individual issues, the fees reduce the amount of debt</t>
  </si>
  <si>
    <t>Debt 2 - Non Capture Issue</t>
  </si>
  <si>
    <t>Debt % 2 - Capture</t>
  </si>
  <si>
    <t>Debt % 1 - Non-Capture</t>
  </si>
  <si>
    <t>Debt % 1 - Capture</t>
  </si>
  <si>
    <t>Debt % 2 - Non Capture</t>
  </si>
  <si>
    <t>PV of Fees 1 - Capture Issue</t>
  </si>
  <si>
    <t>PV of Fees 2 - Non-Capture</t>
  </si>
  <si>
    <t>Total Aggregate Debt Service</t>
  </si>
  <si>
    <t>Less: Non-Capture Debt Issue</t>
  </si>
  <si>
    <t xml:space="preserve">PV at Issue Discount Rate incl WHT </t>
  </si>
  <si>
    <t>Less: PV of Fees</t>
  </si>
  <si>
    <t>Total Debt (Less Fees)</t>
  </si>
  <si>
    <t>Total Fees</t>
  </si>
  <si>
    <t>Target</t>
  </si>
  <si>
    <t>Debt 2 - Non Capture Debt Issue</t>
  </si>
  <si>
    <t>LLCR and Debt Service (Fees in Denom)</t>
  </si>
  <si>
    <t>Total PV of Fees</t>
  </si>
  <si>
    <t>&lt;----------</t>
  </si>
  <si>
    <t>Debt Service from LLCR</t>
  </si>
  <si>
    <t>Non-Capture Debt</t>
  </si>
  <si>
    <t>Capture Debt</t>
  </si>
  <si>
    <t>Total Outflow for Debt 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</si>
</sst>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9" fontId="4" fillId="0" borderId="0" xfId="0" applyNumberFormat="1" applyFont="1" applyFill="1" applyBorder="1"/>
    <xf numFmtId="10" fontId="4" fillId="0" borderId="0" xfId="0" applyNumberFormat="1" applyFont="1" applyFill="1" applyBorder="1"/>
    <xf numFmtId="4" fontId="4" fillId="0" borderId="0" xfId="0" applyNumberFormat="1" applyFont="1" applyFill="1" applyBorder="1"/>
    <xf numFmtId="0" fontId="5" fillId="2" borderId="0" xfId="0" applyFont="1" applyFill="1"/>
    <xf numFmtId="4" fontId="5" fillId="2" borderId="0" xfId="0" applyNumberFormat="1" applyFont="1" applyFill="1"/>
    <xf numFmtId="4" fontId="3" fillId="0" borderId="0" xfId="0" applyNumberFormat="1" applyFont="1" applyFill="1" applyBorder="1"/>
    <xf numFmtId="4" fontId="3" fillId="0" borderId="1" xfId="0" applyNumberFormat="1" applyFont="1" applyFill="1" applyBorder="1"/>
    <xf numFmtId="0" fontId="3" fillId="0" borderId="2" xfId="0" applyFont="1" applyFill="1" applyBorder="1"/>
    <xf numFmtId="4" fontId="3" fillId="0" borderId="2" xfId="0" applyNumberFormat="1" applyFont="1" applyFill="1" applyBorder="1"/>
    <xf numFmtId="4" fontId="3" fillId="0" borderId="0" xfId="0" quotePrefix="1" applyNumberFormat="1" applyFont="1" applyFill="1"/>
    <xf numFmtId="0" fontId="3" fillId="0" borderId="1" xfId="0" applyFont="1" applyFill="1" applyBorder="1"/>
    <xf numFmtId="4" fontId="6" fillId="0" borderId="1" xfId="0" applyNumberFormat="1" applyFont="1" applyFill="1" applyBorder="1"/>
    <xf numFmtId="4" fontId="2" fillId="3" borderId="1" xfId="0" applyNumberFormat="1" applyFont="1" applyFill="1" applyBorder="1"/>
    <xf numFmtId="4" fontId="2" fillId="3" borderId="0" xfId="0" applyNumberFormat="1" applyFont="1" applyFill="1" applyBorder="1"/>
    <xf numFmtId="10" fontId="2" fillId="3" borderId="0" xfId="0" applyNumberFormat="1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22"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indexed="8"/>
      </font>
      <fill>
        <patternFill>
          <fgColor indexed="64"/>
          <bgColor rgb="FF99CC00"/>
        </patternFill>
      </fill>
    </dxf>
    <dxf>
      <font>
        <color auto="1"/>
      </font>
      <fill>
        <patternFill>
          <fgColor indexed="64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546100</xdr:colOff>
          <xdr:row>64</xdr:row>
          <xdr:rowOff>165100</xdr:rowOff>
        </xdr:from>
        <xdr:to>
          <xdr:col>7</xdr:col>
          <xdr:colOff>114300</xdr:colOff>
          <xdr:row>66</xdr:row>
          <xdr:rowOff>50800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165100</xdr:colOff>
          <xdr:row>6</xdr:row>
          <xdr:rowOff>6350</xdr:rowOff>
        </xdr:from>
        <xdr:to>
          <xdr:col>5</xdr:col>
          <xdr:colOff>342900</xdr:colOff>
          <xdr:row>7</xdr:row>
          <xdr:rowOff>76200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DebtIRR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546100</xdr:colOff>
          <xdr:row>49</xdr:row>
          <xdr:rowOff>165100</xdr:rowOff>
        </xdr:from>
        <xdr:to>
          <xdr:col>7</xdr:col>
          <xdr:colOff>114300</xdr:colOff>
          <xdr:row>51</xdr:row>
          <xdr:rowOff>50800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165100</xdr:colOff>
          <xdr:row>6</xdr:row>
          <xdr:rowOff>6350</xdr:rowOff>
        </xdr:from>
        <xdr:to>
          <xdr:col>5</xdr:col>
          <xdr:colOff>342900</xdr:colOff>
          <xdr:row>7</xdr:row>
          <xdr:rowOff>76200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</xdr:colOff>
          <xdr:row>49</xdr:row>
          <xdr:rowOff>25400</xdr:rowOff>
        </xdr:from>
        <xdr:to>
          <xdr:col>5</xdr:col>
          <xdr:colOff>254000</xdr:colOff>
          <xdr:row>50</xdr:row>
          <xdr:rowOff>139700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7964-F32F-4E40-A423-ACEFDA9F8501}">
  <sheetPr codeName="Sheet3"/>
  <dimension ref="A1:ALR74"/>
  <sheetViews>
    <sheetView tabSelected="1" topLeftCell="A48" zoomScale="90" zoomScaleNormal="90" workbookViewId="0">
      <selection activeCell="F60" sqref="F60"/>
    </sheetView>
  </sheetViews>
  <sheetFormatPr defaultRowHeight="14.5" x14ac:dyDescent="0.35"/>
  <cols>
    <col min="1" max="1" width="1.54296875" style="7" customWidth="1"/>
    <col min="2" max="2" width="34.453125" style="7" customWidth="1"/>
    <col min="3" max="16384" width="8.7265625" style="7"/>
  </cols>
  <sheetData>
    <row r="1" spans="1:1006" x14ac:dyDescent="0.35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 t="s">
        <v>77</v>
      </c>
      <c r="P1" s="16"/>
      <c r="Q1" s="16"/>
      <c r="R1" s="16"/>
      <c r="S1" s="16"/>
      <c r="T1" s="16"/>
      <c r="U1" s="16" t="s">
        <v>80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</row>
    <row r="2" spans="1:1006" x14ac:dyDescent="0.35">
      <c r="B2" s="7" t="s">
        <v>25</v>
      </c>
      <c r="C2" s="12">
        <v>1.3</v>
      </c>
      <c r="O2" s="7" t="s">
        <v>78</v>
      </c>
      <c r="U2" s="7" t="s">
        <v>79</v>
      </c>
    </row>
    <row r="3" spans="1:1006" x14ac:dyDescent="0.35">
      <c r="C3" s="7" t="s">
        <v>96</v>
      </c>
      <c r="D3" s="8" t="s">
        <v>47</v>
      </c>
      <c r="E3" s="8" t="s">
        <v>48</v>
      </c>
      <c r="F3" s="8" t="s">
        <v>49</v>
      </c>
      <c r="G3" s="8" t="s">
        <v>67</v>
      </c>
      <c r="H3" s="11" t="s">
        <v>10</v>
      </c>
      <c r="J3" s="7" t="s">
        <v>75</v>
      </c>
      <c r="K3" s="7" t="s">
        <v>76</v>
      </c>
      <c r="U3" s="7" t="s">
        <v>81</v>
      </c>
    </row>
    <row r="4" spans="1:1006" x14ac:dyDescent="0.35">
      <c r="B4" s="7" t="s">
        <v>86</v>
      </c>
      <c r="C4" s="13">
        <v>0.55000000000000004</v>
      </c>
      <c r="D4" s="12">
        <v>15</v>
      </c>
      <c r="E4" s="14">
        <v>3.5000000000000003E-2</v>
      </c>
      <c r="F4" s="9">
        <f>E4+E4*($C$8)/(1-$C$8)</f>
        <v>3.783783783783784E-2</v>
      </c>
      <c r="G4" s="12">
        <v>7</v>
      </c>
      <c r="H4" s="10">
        <f>C48</f>
        <v>377.37438014700933</v>
      </c>
      <c r="I4" s="9">
        <f>H4/H6</f>
        <v>0.5500000000000399</v>
      </c>
      <c r="J4" s="10">
        <f>C21</f>
        <v>870.00998707414078</v>
      </c>
      <c r="K4" s="10">
        <f>J4-C12-C13</f>
        <v>686.13523663081548</v>
      </c>
      <c r="O4" s="7" t="s">
        <v>68</v>
      </c>
      <c r="U4" s="7" t="s">
        <v>82</v>
      </c>
    </row>
    <row r="5" spans="1:1006" x14ac:dyDescent="0.35">
      <c r="B5" s="7" t="s">
        <v>87</v>
      </c>
      <c r="C5" s="13">
        <v>0.45</v>
      </c>
      <c r="D5" s="12">
        <v>10</v>
      </c>
      <c r="E5" s="14">
        <v>0.06</v>
      </c>
      <c r="F5" s="9">
        <f>E5+E5*($C$8)/(1-$C$8)</f>
        <v>6.4864864864864868E-2</v>
      </c>
      <c r="G5" s="12">
        <v>10</v>
      </c>
      <c r="H5" s="10">
        <f>C35</f>
        <v>308.76085648386697</v>
      </c>
      <c r="I5" s="9">
        <f>H5/H6</f>
        <v>0.4499999999999601</v>
      </c>
      <c r="O5" s="7" t="s">
        <v>69</v>
      </c>
      <c r="U5" s="11" t="s">
        <v>70</v>
      </c>
    </row>
    <row r="6" spans="1:1006" x14ac:dyDescent="0.35">
      <c r="B6" s="7" t="s">
        <v>18</v>
      </c>
      <c r="H6" s="10">
        <f>SUM(H4:H5)</f>
        <v>686.13523663087631</v>
      </c>
      <c r="U6" s="7" t="s">
        <v>71</v>
      </c>
    </row>
    <row r="7" spans="1:1006" x14ac:dyDescent="0.35">
      <c r="U7" s="7" t="s">
        <v>72</v>
      </c>
    </row>
    <row r="8" spans="1:1006" x14ac:dyDescent="0.35">
      <c r="B8" s="7" t="s">
        <v>46</v>
      </c>
      <c r="C8" s="14">
        <v>7.4999999999999997E-2</v>
      </c>
    </row>
    <row r="9" spans="1:1006" x14ac:dyDescent="0.35"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  <c r="O9" s="12">
        <v>12</v>
      </c>
      <c r="P9" s="12">
        <v>13</v>
      </c>
      <c r="Q9" s="12">
        <v>14</v>
      </c>
      <c r="R9" s="12">
        <v>15</v>
      </c>
    </row>
    <row r="10" spans="1:1006" x14ac:dyDescent="0.35">
      <c r="B10" s="7" t="s">
        <v>0</v>
      </c>
      <c r="D10" s="15">
        <v>100</v>
      </c>
      <c r="E10" s="10">
        <f>D10*1.01</f>
        <v>101</v>
      </c>
      <c r="F10" s="10">
        <f t="shared" ref="F10:R10" si="0">E10*1.01</f>
        <v>102.01</v>
      </c>
      <c r="G10" s="10">
        <f t="shared" si="0"/>
        <v>103.0301</v>
      </c>
      <c r="H10" s="10">
        <f t="shared" si="0"/>
        <v>104.060401</v>
      </c>
      <c r="I10" s="10">
        <f t="shared" si="0"/>
        <v>105.10100500999999</v>
      </c>
      <c r="J10" s="10">
        <f t="shared" si="0"/>
        <v>106.1520150601</v>
      </c>
      <c r="K10" s="10">
        <f t="shared" si="0"/>
        <v>107.213535210701</v>
      </c>
      <c r="L10" s="10">
        <f t="shared" si="0"/>
        <v>108.28567056280801</v>
      </c>
      <c r="M10" s="10">
        <f t="shared" si="0"/>
        <v>109.36852726843608</v>
      </c>
      <c r="N10" s="10">
        <f t="shared" si="0"/>
        <v>110.46221254112045</v>
      </c>
      <c r="O10" s="10">
        <f t="shared" si="0"/>
        <v>111.56683466653166</v>
      </c>
      <c r="P10" s="10">
        <f t="shared" si="0"/>
        <v>112.68250301319698</v>
      </c>
      <c r="Q10" s="10">
        <f t="shared" si="0"/>
        <v>113.80932804332895</v>
      </c>
      <c r="R10" s="10">
        <f t="shared" si="0"/>
        <v>114.94742132376224</v>
      </c>
    </row>
    <row r="11" spans="1:1006" x14ac:dyDescent="0.3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006" x14ac:dyDescent="0.35">
      <c r="B12" s="7" t="s">
        <v>88</v>
      </c>
      <c r="C12" s="26">
        <f>NPV(F4,D55:R55)</f>
        <v>102.66070160124275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006" x14ac:dyDescent="0.35">
      <c r="B13" s="7" t="s">
        <v>89</v>
      </c>
      <c r="C13" s="26">
        <f>NPV(F5,D38:M38)</f>
        <v>81.214048842082576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006" ht="15" thickBot="1" x14ac:dyDescent="0.4">
      <c r="B14" s="20" t="s">
        <v>99</v>
      </c>
      <c r="C14" s="26">
        <f>SUM(C12:C13)</f>
        <v>183.87475044332533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006" ht="15" thickTop="1" x14ac:dyDescent="0.3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006" x14ac:dyDescent="0.35">
      <c r="A16" s="16" t="s">
        <v>50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</row>
    <row r="17" spans="1:1006" x14ac:dyDescent="0.35">
      <c r="B17" s="7" t="s">
        <v>7</v>
      </c>
      <c r="C17" s="27">
        <f>C65</f>
        <v>4.6518363098051019E-2</v>
      </c>
      <c r="D17" s="9">
        <f>C17</f>
        <v>4.6518363098051019E-2</v>
      </c>
      <c r="E17" s="9">
        <f t="shared" ref="E17:R17" si="1">D17</f>
        <v>4.6518363098051019E-2</v>
      </c>
      <c r="F17" s="9">
        <f t="shared" si="1"/>
        <v>4.6518363098051019E-2</v>
      </c>
      <c r="G17" s="9">
        <f t="shared" si="1"/>
        <v>4.6518363098051019E-2</v>
      </c>
      <c r="H17" s="9">
        <f t="shared" si="1"/>
        <v>4.6518363098051019E-2</v>
      </c>
      <c r="I17" s="9">
        <f t="shared" si="1"/>
        <v>4.6518363098051019E-2</v>
      </c>
      <c r="J17" s="9">
        <f t="shared" si="1"/>
        <v>4.6518363098051019E-2</v>
      </c>
      <c r="K17" s="9">
        <f t="shared" si="1"/>
        <v>4.6518363098051019E-2</v>
      </c>
      <c r="L17" s="9">
        <f t="shared" si="1"/>
        <v>4.6518363098051019E-2</v>
      </c>
      <c r="M17" s="9">
        <f t="shared" si="1"/>
        <v>4.6518363098051019E-2</v>
      </c>
      <c r="N17" s="9">
        <f t="shared" si="1"/>
        <v>4.6518363098051019E-2</v>
      </c>
      <c r="O17" s="9">
        <f t="shared" si="1"/>
        <v>4.6518363098051019E-2</v>
      </c>
      <c r="P17" s="9">
        <f t="shared" si="1"/>
        <v>4.6518363098051019E-2</v>
      </c>
      <c r="Q17" s="9">
        <f t="shared" si="1"/>
        <v>4.6518363098051019E-2</v>
      </c>
      <c r="R17" s="9">
        <f t="shared" si="1"/>
        <v>4.6518363098051019E-2</v>
      </c>
    </row>
    <row r="18" spans="1:1006" x14ac:dyDescent="0.35">
      <c r="B18" s="7" t="s">
        <v>21</v>
      </c>
      <c r="C18" s="15">
        <v>1</v>
      </c>
      <c r="D18" s="10">
        <f>C18*(1+D17)</f>
        <v>1.046518363098051</v>
      </c>
      <c r="E18" s="10">
        <f t="shared" ref="E18:R18" si="2">D18*(1+E17)</f>
        <v>1.0952006843014241</v>
      </c>
      <c r="F18" s="10">
        <f t="shared" si="2"/>
        <v>1.1461476273989917</v>
      </c>
      <c r="G18" s="10">
        <f t="shared" si="2"/>
        <v>1.1994645388943077</v>
      </c>
      <c r="H18" s="10">
        <f t="shared" si="2"/>
        <v>1.2552616658378295</v>
      </c>
      <c r="I18" s="10">
        <f t="shared" si="2"/>
        <v>1.313654383792338</v>
      </c>
      <c r="J18" s="10">
        <f t="shared" si="2"/>
        <v>1.3747634354029366</v>
      </c>
      <c r="K18" s="10">
        <f t="shared" si="2"/>
        <v>1.4387151800649343</v>
      </c>
      <c r="L18" s="10">
        <f t="shared" si="2"/>
        <v>1.5056418552058728</v>
      </c>
      <c r="M18" s="10">
        <f t="shared" si="2"/>
        <v>1.5756818497219627</v>
      </c>
      <c r="N18" s="10">
        <f t="shared" si="2"/>
        <v>1.6489799901343376</v>
      </c>
      <c r="O18" s="10">
        <f t="shared" si="2"/>
        <v>1.7256878400568274</v>
      </c>
      <c r="P18" s="10">
        <f t="shared" si="2"/>
        <v>1.8059640135944823</v>
      </c>
      <c r="Q18" s="10">
        <f t="shared" si="2"/>
        <v>1.8899745033208839</v>
      </c>
      <c r="R18" s="10">
        <f t="shared" si="2"/>
        <v>1.9778930235124235</v>
      </c>
    </row>
    <row r="19" spans="1:1006" x14ac:dyDescent="0.3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006" x14ac:dyDescent="0.35">
      <c r="B20" s="7" t="s">
        <v>26</v>
      </c>
      <c r="C20" s="28">
        <f>C2</f>
        <v>1.3</v>
      </c>
      <c r="D20" s="10">
        <f t="shared" ref="D20:R20" si="3">D10/$C$20</f>
        <v>76.92307692307692</v>
      </c>
      <c r="E20" s="10">
        <f t="shared" si="3"/>
        <v>77.692307692307693</v>
      </c>
      <c r="F20" s="10">
        <f t="shared" si="3"/>
        <v>78.469230769230776</v>
      </c>
      <c r="G20" s="10">
        <f t="shared" si="3"/>
        <v>79.253923076923073</v>
      </c>
      <c r="H20" s="10">
        <f t="shared" si="3"/>
        <v>80.046462307692309</v>
      </c>
      <c r="I20" s="10">
        <f t="shared" si="3"/>
        <v>80.846926930769229</v>
      </c>
      <c r="J20" s="10">
        <f t="shared" si="3"/>
        <v>81.655396200076922</v>
      </c>
      <c r="K20" s="10">
        <f t="shared" si="3"/>
        <v>82.47195016207769</v>
      </c>
      <c r="L20" s="10">
        <f t="shared" si="3"/>
        <v>83.296669663698466</v>
      </c>
      <c r="M20" s="10">
        <f t="shared" si="3"/>
        <v>84.129636360335439</v>
      </c>
      <c r="N20" s="10">
        <f t="shared" si="3"/>
        <v>84.970932723938802</v>
      </c>
      <c r="O20" s="10">
        <f t="shared" si="3"/>
        <v>85.820642051178197</v>
      </c>
      <c r="P20" s="10">
        <f t="shared" si="3"/>
        <v>86.678848471689975</v>
      </c>
      <c r="Q20" s="10">
        <f t="shared" si="3"/>
        <v>87.545636956406881</v>
      </c>
      <c r="R20" s="10">
        <f t="shared" si="3"/>
        <v>88.421093325970958</v>
      </c>
    </row>
    <row r="21" spans="1:1006" x14ac:dyDescent="0.35">
      <c r="B21" s="7" t="s">
        <v>27</v>
      </c>
      <c r="C21" s="26">
        <f>SUMPRODUCT(D20:R20/D18:R18)</f>
        <v>870.00998707414078</v>
      </c>
      <c r="D21" s="22" t="s">
        <v>100</v>
      </c>
      <c r="E21" s="10" t="str">
        <f ca="1">_xlfn.FORMULATEXT(C21)</f>
        <v>=SUMPRODUCT(D20:R20/D18:R18)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006" x14ac:dyDescent="0.35">
      <c r="B22" s="7" t="s">
        <v>94</v>
      </c>
      <c r="C22" s="26">
        <f>C21-C14</f>
        <v>686.13523663081548</v>
      </c>
      <c r="D22" s="22" t="s">
        <v>100</v>
      </c>
      <c r="E22" s="10" t="str">
        <f ca="1">_xlfn.FORMULATEXT(C22)</f>
        <v>=C21-C14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006" x14ac:dyDescent="0.3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006" x14ac:dyDescent="0.35">
      <c r="A24" s="16" t="s">
        <v>83</v>
      </c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</row>
    <row r="25" spans="1:1006" x14ac:dyDescent="0.35">
      <c r="B25" s="7" t="s">
        <v>19</v>
      </c>
      <c r="C25" s="26">
        <f>NPV(F5,D25:M25)</f>
        <v>748.73387716215939</v>
      </c>
      <c r="D25" s="10">
        <f t="shared" ref="D25:M25" si="4">D10</f>
        <v>100</v>
      </c>
      <c r="E25" s="10">
        <f t="shared" si="4"/>
        <v>101</v>
      </c>
      <c r="F25" s="10">
        <f t="shared" si="4"/>
        <v>102.01</v>
      </c>
      <c r="G25" s="10">
        <f t="shared" si="4"/>
        <v>103.0301</v>
      </c>
      <c r="H25" s="10">
        <f t="shared" si="4"/>
        <v>104.060401</v>
      </c>
      <c r="I25" s="10">
        <f t="shared" si="4"/>
        <v>105.10100500999999</v>
      </c>
      <c r="J25" s="10">
        <f t="shared" si="4"/>
        <v>106.1520150601</v>
      </c>
      <c r="K25" s="10">
        <f t="shared" si="4"/>
        <v>107.213535210701</v>
      </c>
      <c r="L25" s="10">
        <f t="shared" si="4"/>
        <v>108.28567056280801</v>
      </c>
      <c r="M25" s="10">
        <f t="shared" si="4"/>
        <v>109.36852726843608</v>
      </c>
      <c r="N25" s="10"/>
      <c r="O25" s="10"/>
      <c r="P25" s="10"/>
      <c r="Q25" s="10"/>
      <c r="R25" s="10"/>
    </row>
    <row r="26" spans="1:1006" x14ac:dyDescent="0.3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006" x14ac:dyDescent="0.35">
      <c r="B27" s="7" t="s">
        <v>97</v>
      </c>
      <c r="C27" s="26">
        <f>C22*C5</f>
        <v>308.76085648386697</v>
      </c>
      <c r="D27" s="22" t="s">
        <v>100</v>
      </c>
      <c r="E27" s="10" t="str">
        <f ca="1">_xlfn.FORMULATEXT(C27)</f>
        <v>=C22*C5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006" x14ac:dyDescent="0.3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006" x14ac:dyDescent="0.35">
      <c r="B29" s="7" t="s">
        <v>98</v>
      </c>
      <c r="C29" s="26">
        <f>C25/(C27+C13)</f>
        <v>1.9199539943124067</v>
      </c>
      <c r="D29" s="22" t="s">
        <v>100</v>
      </c>
      <c r="E29" s="10" t="str">
        <f ca="1">_xlfn.FORMULATEXT(C29)</f>
        <v>=C25/(C27+C13)</v>
      </c>
      <c r="N29" s="10"/>
      <c r="O29" s="10"/>
      <c r="P29" s="10"/>
      <c r="Q29" s="10"/>
      <c r="R29" s="10"/>
    </row>
    <row r="30" spans="1:1006" x14ac:dyDescent="0.35">
      <c r="C30" s="10"/>
      <c r="D30" s="22"/>
      <c r="E30" s="10"/>
      <c r="N30" s="10"/>
      <c r="O30" s="10"/>
      <c r="P30" s="10"/>
      <c r="Q30" s="10"/>
      <c r="R30" s="10"/>
    </row>
    <row r="31" spans="1:1006" x14ac:dyDescent="0.35">
      <c r="B31" s="7" t="s">
        <v>101</v>
      </c>
      <c r="C31" s="26">
        <f>C29</f>
        <v>1.9199539943124067</v>
      </c>
      <c r="D31" s="10">
        <f>D25/$C$29</f>
        <v>52.084581347384322</v>
      </c>
      <c r="E31" s="10">
        <f>E25/$C$29</f>
        <v>52.605427160858163</v>
      </c>
      <c r="F31" s="10">
        <f>F25/$C$29</f>
        <v>53.131481432466749</v>
      </c>
      <c r="G31" s="10">
        <f>G25/$C$29</f>
        <v>53.662796246791416</v>
      </c>
      <c r="H31" s="10">
        <f>H25/$C$29</f>
        <v>54.199424209259327</v>
      </c>
      <c r="I31" s="10">
        <f>I25/$C$29</f>
        <v>54.741418451351919</v>
      </c>
      <c r="J31" s="10">
        <f>J25/$C$29</f>
        <v>55.28883263586544</v>
      </c>
      <c r="K31" s="10">
        <f>K25/$C$29</f>
        <v>55.841720962224095</v>
      </c>
      <c r="L31" s="10">
        <f>L25/$C$29</f>
        <v>56.400138171846336</v>
      </c>
      <c r="M31" s="10">
        <f>M25/$C$29</f>
        <v>56.964139553564799</v>
      </c>
      <c r="N31" s="10"/>
      <c r="O31" s="10"/>
      <c r="P31" s="10"/>
      <c r="Q31" s="10"/>
      <c r="R31" s="10"/>
    </row>
    <row r="32" spans="1:1006" x14ac:dyDescent="0.3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006" x14ac:dyDescent="0.35">
      <c r="B33" s="7" t="s">
        <v>11</v>
      </c>
      <c r="C33" s="10"/>
      <c r="D33" s="10">
        <f>C35</f>
        <v>308.76085648386697</v>
      </c>
      <c r="E33" s="10">
        <f t="shared" ref="E33:M33" si="5">D35</f>
        <v>286.7040063678686</v>
      </c>
      <c r="F33" s="10">
        <f t="shared" si="5"/>
        <v>262.99559583627757</v>
      </c>
      <c r="G33" s="10">
        <f t="shared" si="5"/>
        <v>237.53228818778558</v>
      </c>
      <c r="H33" s="10">
        <f t="shared" si="5"/>
        <v>210.204261715337</v>
      </c>
      <c r="I33" s="10">
        <f t="shared" si="5"/>
        <v>180.89479663626167</v>
      </c>
      <c r="J33" s="10">
        <f t="shared" si="5"/>
        <v>149.47983546647808</v>
      </c>
      <c r="K33" s="10">
        <f t="shared" si="5"/>
        <v>115.82751512345797</v>
      </c>
      <c r="L33" s="10">
        <f t="shared" si="5"/>
        <v>79.797668931598764</v>
      </c>
      <c r="M33" s="10">
        <f t="shared" si="5"/>
        <v>41.241296585407973</v>
      </c>
      <c r="N33" s="10"/>
      <c r="O33" s="10"/>
      <c r="P33" s="10"/>
      <c r="Q33" s="10"/>
      <c r="R33" s="10"/>
    </row>
    <row r="34" spans="1:1006" x14ac:dyDescent="0.35">
      <c r="B34" s="7" t="s">
        <v>24</v>
      </c>
      <c r="C34" s="10"/>
      <c r="D34" s="10">
        <f>D31-D36-D37-D38</f>
        <v>22.056850115998358</v>
      </c>
      <c r="E34" s="10">
        <f>E31-E36-E37-E38</f>
        <v>23.70841053159101</v>
      </c>
      <c r="F34" s="10">
        <f>F31-F36-F37-F38</f>
        <v>25.463307648491984</v>
      </c>
      <c r="G34" s="10">
        <f>G31-G36-G37-G38</f>
        <v>27.32802647244857</v>
      </c>
      <c r="H34" s="10">
        <f>H31-H36-H37-H38</f>
        <v>29.309465079075309</v>
      </c>
      <c r="I34" s="10">
        <f>I31-I36-I37-I38</f>
        <v>31.414961169783595</v>
      </c>
      <c r="J34" s="10">
        <f>J31-J36-J37-J38</f>
        <v>33.652320343020108</v>
      </c>
      <c r="K34" s="10">
        <f>K31-K36-K37-K38</f>
        <v>36.0298461918592</v>
      </c>
      <c r="L34" s="10">
        <f>L31-L36-L37-L38</f>
        <v>38.556372346190791</v>
      </c>
      <c r="M34" s="10">
        <f>M31-M36-M37-M38</f>
        <v>41.241296585408051</v>
      </c>
      <c r="N34" s="22" t="s">
        <v>100</v>
      </c>
      <c r="O34" s="10" t="str">
        <f ca="1">_xlfn.FORMULATEXT(M34)</f>
        <v>=M31-M36-M37-M38</v>
      </c>
      <c r="P34" s="10"/>
      <c r="Q34" s="10"/>
      <c r="R34" s="10"/>
    </row>
    <row r="35" spans="1:1006" ht="15" thickBot="1" x14ac:dyDescent="0.4">
      <c r="B35" s="23" t="s">
        <v>13</v>
      </c>
      <c r="C35" s="26">
        <f>C27</f>
        <v>308.76085648386697</v>
      </c>
      <c r="D35" s="19">
        <f>D33-D34</f>
        <v>286.7040063678686</v>
      </c>
      <c r="E35" s="19">
        <f t="shared" ref="E35:M35" si="6">E33-E34</f>
        <v>262.99559583627757</v>
      </c>
      <c r="F35" s="19">
        <f t="shared" si="6"/>
        <v>237.53228818778558</v>
      </c>
      <c r="G35" s="19">
        <f t="shared" si="6"/>
        <v>210.204261715337</v>
      </c>
      <c r="H35" s="19">
        <f t="shared" si="6"/>
        <v>180.89479663626167</v>
      </c>
      <c r="I35" s="19">
        <f t="shared" si="6"/>
        <v>149.47983546647808</v>
      </c>
      <c r="J35" s="19">
        <f t="shared" si="6"/>
        <v>115.82751512345797</v>
      </c>
      <c r="K35" s="19">
        <f t="shared" si="6"/>
        <v>79.797668931598764</v>
      </c>
      <c r="L35" s="19">
        <f t="shared" si="6"/>
        <v>41.241296585407973</v>
      </c>
      <c r="M35" s="24">
        <f t="shared" si="6"/>
        <v>-7.815970093361102E-14</v>
      </c>
      <c r="N35" s="10"/>
      <c r="O35" s="10"/>
      <c r="P35" s="10"/>
      <c r="Q35" s="10"/>
      <c r="R35" s="10"/>
    </row>
    <row r="36" spans="1:1006" x14ac:dyDescent="0.35">
      <c r="B36" s="7" t="s">
        <v>14</v>
      </c>
      <c r="C36" s="10"/>
      <c r="D36" s="10">
        <f>D33*$E$5</f>
        <v>18.525651389032017</v>
      </c>
      <c r="E36" s="10">
        <f t="shared" ref="E36:M36" si="7">E33*$E$5</f>
        <v>17.202240382072116</v>
      </c>
      <c r="F36" s="10">
        <f t="shared" si="7"/>
        <v>15.779735750176654</v>
      </c>
      <c r="G36" s="10">
        <f t="shared" si="7"/>
        <v>14.251937291267135</v>
      </c>
      <c r="H36" s="10">
        <f t="shared" si="7"/>
        <v>12.612255702920219</v>
      </c>
      <c r="I36" s="10">
        <f t="shared" si="7"/>
        <v>10.853687798175701</v>
      </c>
      <c r="J36" s="10">
        <f t="shared" si="7"/>
        <v>8.9687901279886848</v>
      </c>
      <c r="K36" s="10">
        <f t="shared" si="7"/>
        <v>6.9496509074074782</v>
      </c>
      <c r="L36" s="10">
        <f t="shared" si="7"/>
        <v>4.7878601358959259</v>
      </c>
      <c r="M36" s="10">
        <f t="shared" si="7"/>
        <v>2.4744777951244781</v>
      </c>
      <c r="N36" s="10"/>
      <c r="O36" s="10"/>
      <c r="P36" s="10"/>
      <c r="Q36" s="10"/>
      <c r="R36" s="10"/>
    </row>
    <row r="37" spans="1:1006" x14ac:dyDescent="0.35">
      <c r="B37" s="7" t="s">
        <v>51</v>
      </c>
      <c r="C37" s="10"/>
      <c r="D37" s="10">
        <f>D36*$C$8/(1-$C$8)</f>
        <v>1.5020798423539472</v>
      </c>
      <c r="E37" s="10">
        <f t="shared" ref="E37:M37" si="8">E36*$C$8/(1-$C$8)</f>
        <v>1.3947762471950365</v>
      </c>
      <c r="F37" s="10">
        <f t="shared" si="8"/>
        <v>1.2794380337981068</v>
      </c>
      <c r="G37" s="10">
        <f t="shared" si="8"/>
        <v>1.1555624830757136</v>
      </c>
      <c r="H37" s="10">
        <f t="shared" si="8"/>
        <v>1.0226153272638014</v>
      </c>
      <c r="I37" s="10">
        <f t="shared" si="8"/>
        <v>0.88002874039262424</v>
      </c>
      <c r="J37" s="10">
        <f t="shared" si="8"/>
        <v>0.72719919956665002</v>
      </c>
      <c r="K37" s="10">
        <f t="shared" si="8"/>
        <v>0.56348520870871444</v>
      </c>
      <c r="L37" s="10">
        <f t="shared" si="8"/>
        <v>0.38820487588345343</v>
      </c>
      <c r="M37" s="10">
        <f t="shared" si="8"/>
        <v>0.20063333473982251</v>
      </c>
      <c r="N37" s="22" t="s">
        <v>100</v>
      </c>
      <c r="O37" s="10" t="str">
        <f ca="1">_xlfn.FORMULATEXT(M37)</f>
        <v>=M36*$C$8/(1-$C$8)</v>
      </c>
      <c r="P37" s="10"/>
      <c r="Q37" s="10"/>
      <c r="R37" s="10"/>
    </row>
    <row r="38" spans="1:1006" x14ac:dyDescent="0.35">
      <c r="B38" s="7" t="s">
        <v>67</v>
      </c>
      <c r="C38" s="10"/>
      <c r="D38" s="10">
        <f>G5</f>
        <v>10</v>
      </c>
      <c r="E38" s="10">
        <f>D38*1.03</f>
        <v>10.3</v>
      </c>
      <c r="F38" s="10">
        <f t="shared" ref="F38:M38" si="9">E38*1.03</f>
        <v>10.609000000000002</v>
      </c>
      <c r="G38" s="10">
        <f t="shared" si="9"/>
        <v>10.927270000000002</v>
      </c>
      <c r="H38" s="10">
        <f t="shared" si="9"/>
        <v>11.255088100000002</v>
      </c>
      <c r="I38" s="10">
        <f t="shared" si="9"/>
        <v>11.592740743000002</v>
      </c>
      <c r="J38" s="10">
        <f t="shared" si="9"/>
        <v>11.940522965290002</v>
      </c>
      <c r="K38" s="10">
        <f t="shared" si="9"/>
        <v>12.298738654248703</v>
      </c>
      <c r="L38" s="10">
        <f t="shared" si="9"/>
        <v>12.667700813876165</v>
      </c>
      <c r="M38" s="10">
        <f t="shared" si="9"/>
        <v>13.047731838292449</v>
      </c>
      <c r="N38" s="10"/>
      <c r="O38" s="10"/>
      <c r="P38" s="10"/>
      <c r="Q38" s="10"/>
      <c r="R38" s="10"/>
    </row>
    <row r="39" spans="1:1006" x14ac:dyDescent="0.35">
      <c r="B39" s="7" t="s">
        <v>52</v>
      </c>
      <c r="C39" s="10"/>
      <c r="D39" s="9">
        <f t="shared" ref="D39:M39" si="10">D37/(D37+D36)</f>
        <v>7.4999999999999997E-2</v>
      </c>
      <c r="E39" s="9">
        <f t="shared" si="10"/>
        <v>7.4999999999999997E-2</v>
      </c>
      <c r="F39" s="9">
        <f t="shared" si="10"/>
        <v>7.4999999999999983E-2</v>
      </c>
      <c r="G39" s="9">
        <f t="shared" si="10"/>
        <v>7.4999999999999997E-2</v>
      </c>
      <c r="H39" s="9">
        <f t="shared" si="10"/>
        <v>7.4999999999999983E-2</v>
      </c>
      <c r="I39" s="9">
        <f t="shared" si="10"/>
        <v>7.4999999999999983E-2</v>
      </c>
      <c r="J39" s="9">
        <f t="shared" si="10"/>
        <v>7.4999999999999997E-2</v>
      </c>
      <c r="K39" s="9">
        <f t="shared" si="10"/>
        <v>7.4999999999999997E-2</v>
      </c>
      <c r="L39" s="9">
        <f t="shared" si="10"/>
        <v>7.4999999999999997E-2</v>
      </c>
      <c r="M39" s="9">
        <f t="shared" si="10"/>
        <v>7.4999999999999983E-2</v>
      </c>
      <c r="N39" s="10"/>
      <c r="O39" s="10"/>
      <c r="P39" s="10"/>
      <c r="Q39" s="10"/>
      <c r="R39" s="10"/>
    </row>
    <row r="40" spans="1:1006" x14ac:dyDescent="0.3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006" x14ac:dyDescent="0.35">
      <c r="A41" s="16" t="s">
        <v>44</v>
      </c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  <c r="AEG41" s="16"/>
      <c r="AEH41" s="16"/>
      <c r="AEI41" s="16"/>
      <c r="AEJ41" s="16"/>
      <c r="AEK41" s="16"/>
      <c r="AEL41" s="16"/>
      <c r="AEM41" s="16"/>
      <c r="AEN41" s="16"/>
      <c r="AEO41" s="16"/>
      <c r="AEP41" s="16"/>
      <c r="AEQ41" s="16"/>
      <c r="AER41" s="16"/>
      <c r="AES41" s="16"/>
      <c r="AET41" s="16"/>
      <c r="AEU41" s="16"/>
      <c r="AEV41" s="16"/>
      <c r="AEW41" s="16"/>
      <c r="AEX41" s="16"/>
      <c r="AEY41" s="16"/>
      <c r="AEZ41" s="16"/>
      <c r="AFA41" s="16"/>
      <c r="AFB41" s="16"/>
      <c r="AFC41" s="16"/>
      <c r="AFD41" s="16"/>
      <c r="AFE41" s="16"/>
      <c r="AFF41" s="16"/>
      <c r="AFG41" s="16"/>
      <c r="AFH41" s="16"/>
      <c r="AFI41" s="16"/>
      <c r="AFJ41" s="16"/>
      <c r="AFK41" s="16"/>
      <c r="AFL41" s="16"/>
      <c r="AFM41" s="16"/>
      <c r="AFN41" s="16"/>
      <c r="AFO41" s="16"/>
      <c r="AFP41" s="16"/>
      <c r="AFQ41" s="16"/>
      <c r="AFR41" s="16"/>
      <c r="AFS41" s="16"/>
      <c r="AFT41" s="16"/>
      <c r="AFU41" s="16"/>
      <c r="AFV41" s="16"/>
      <c r="AFW41" s="16"/>
      <c r="AFX41" s="16"/>
      <c r="AFY41" s="16"/>
      <c r="AFZ41" s="16"/>
      <c r="AGA41" s="16"/>
      <c r="AGB41" s="16"/>
      <c r="AGC41" s="16"/>
      <c r="AGD41" s="16"/>
      <c r="AGE41" s="16"/>
      <c r="AGF41" s="16"/>
      <c r="AGG41" s="16"/>
      <c r="AGH41" s="16"/>
      <c r="AGI41" s="16"/>
      <c r="AGJ41" s="16"/>
      <c r="AGK41" s="16"/>
      <c r="AGL41" s="16"/>
      <c r="AGM41" s="16"/>
      <c r="AGN41" s="16"/>
      <c r="AGO41" s="16"/>
      <c r="AGP41" s="16"/>
      <c r="AGQ41" s="16"/>
      <c r="AGR41" s="16"/>
      <c r="AGS41" s="16"/>
      <c r="AGT41" s="16"/>
      <c r="AGU41" s="16"/>
      <c r="AGV41" s="16"/>
      <c r="AGW41" s="16"/>
      <c r="AGX41" s="16"/>
      <c r="AGY41" s="16"/>
      <c r="AGZ41" s="16"/>
      <c r="AHA41" s="16"/>
      <c r="AHB41" s="16"/>
      <c r="AHC41" s="16"/>
      <c r="AHD41" s="16"/>
      <c r="AHE41" s="16"/>
      <c r="AHF41" s="16"/>
      <c r="AHG41" s="16"/>
      <c r="AHH41" s="16"/>
      <c r="AHI41" s="16"/>
      <c r="AHJ41" s="16"/>
      <c r="AHK41" s="16"/>
      <c r="AHL41" s="16"/>
      <c r="AHM41" s="16"/>
      <c r="AHN41" s="16"/>
      <c r="AHO41" s="16"/>
      <c r="AHP41" s="16"/>
      <c r="AHQ41" s="16"/>
      <c r="AHR41" s="16"/>
      <c r="AHS41" s="16"/>
      <c r="AHT41" s="16"/>
      <c r="AHU41" s="16"/>
      <c r="AHV41" s="16"/>
      <c r="AHW41" s="16"/>
      <c r="AHX41" s="16"/>
      <c r="AHY41" s="16"/>
      <c r="AHZ41" s="16"/>
      <c r="AIA41" s="16"/>
      <c r="AIB41" s="16"/>
      <c r="AIC41" s="16"/>
      <c r="AID41" s="16"/>
      <c r="AIE41" s="16"/>
      <c r="AIF41" s="16"/>
      <c r="AIG41" s="16"/>
      <c r="AIH41" s="16"/>
      <c r="AII41" s="16"/>
      <c r="AIJ41" s="16"/>
      <c r="AIK41" s="16"/>
      <c r="AIL41" s="16"/>
      <c r="AIM41" s="16"/>
      <c r="AIN41" s="16"/>
      <c r="AIO41" s="16"/>
      <c r="AIP41" s="16"/>
      <c r="AIQ41" s="16"/>
      <c r="AIR41" s="16"/>
      <c r="AIS41" s="16"/>
      <c r="AIT41" s="16"/>
      <c r="AIU41" s="16"/>
      <c r="AIV41" s="16"/>
      <c r="AIW41" s="16"/>
      <c r="AIX41" s="16"/>
      <c r="AIY41" s="16"/>
      <c r="AIZ41" s="16"/>
      <c r="AJA41" s="16"/>
      <c r="AJB41" s="16"/>
      <c r="AJC41" s="16"/>
      <c r="AJD41" s="16"/>
      <c r="AJE41" s="16"/>
      <c r="AJF41" s="16"/>
      <c r="AJG41" s="16"/>
      <c r="AJH41" s="16"/>
      <c r="AJI41" s="16"/>
      <c r="AJJ41" s="16"/>
      <c r="AJK41" s="16"/>
      <c r="AJL41" s="16"/>
      <c r="AJM41" s="16"/>
      <c r="AJN41" s="16"/>
      <c r="AJO41" s="16"/>
      <c r="AJP41" s="16"/>
      <c r="AJQ41" s="16"/>
      <c r="AJR41" s="16"/>
      <c r="AJS41" s="16"/>
      <c r="AJT41" s="16"/>
      <c r="AJU41" s="16"/>
      <c r="AJV41" s="16"/>
      <c r="AJW41" s="16"/>
      <c r="AJX41" s="16"/>
      <c r="AJY41" s="16"/>
      <c r="AJZ41" s="16"/>
      <c r="AKA41" s="16"/>
      <c r="AKB41" s="16"/>
      <c r="AKC41" s="16"/>
      <c r="AKD41" s="16"/>
      <c r="AKE41" s="16"/>
      <c r="AKF41" s="16"/>
      <c r="AKG41" s="16"/>
      <c r="AKH41" s="16"/>
      <c r="AKI41" s="16"/>
      <c r="AKJ41" s="16"/>
      <c r="AKK41" s="16"/>
      <c r="AKL41" s="16"/>
      <c r="AKM41" s="16"/>
      <c r="AKN41" s="16"/>
      <c r="AKO41" s="16"/>
      <c r="AKP41" s="16"/>
      <c r="AKQ41" s="16"/>
      <c r="AKR41" s="16"/>
      <c r="AKS41" s="16"/>
      <c r="AKT41" s="16"/>
      <c r="AKU41" s="16"/>
      <c r="AKV41" s="16"/>
      <c r="AKW41" s="16"/>
      <c r="AKX41" s="16"/>
      <c r="AKY41" s="16"/>
      <c r="AKZ41" s="16"/>
      <c r="ALA41" s="16"/>
      <c r="ALB41" s="16"/>
      <c r="ALC41" s="16"/>
      <c r="ALD41" s="16"/>
      <c r="ALE41" s="16"/>
      <c r="ALF41" s="16"/>
      <c r="ALG41" s="16"/>
      <c r="ALH41" s="16"/>
      <c r="ALI41" s="16"/>
      <c r="ALJ41" s="16"/>
      <c r="ALK41" s="16"/>
      <c r="ALL41" s="16"/>
      <c r="ALM41" s="16"/>
      <c r="ALN41" s="16"/>
      <c r="ALO41" s="16"/>
      <c r="ALP41" s="16"/>
      <c r="ALQ41" s="16"/>
      <c r="ALR41" s="16"/>
    </row>
    <row r="42" spans="1:1006" x14ac:dyDescent="0.35">
      <c r="B42" s="7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006" x14ac:dyDescent="0.35">
      <c r="B43" s="7" t="s">
        <v>90</v>
      </c>
      <c r="C43" s="10"/>
      <c r="D43" s="10">
        <f>D20</f>
        <v>76.92307692307692</v>
      </c>
      <c r="E43" s="10">
        <f>E20</f>
        <v>77.692307692307693</v>
      </c>
      <c r="F43" s="10">
        <f>F20</f>
        <v>78.469230769230776</v>
      </c>
      <c r="G43" s="10">
        <f>G20</f>
        <v>79.253923076923073</v>
      </c>
      <c r="H43" s="10">
        <f>H20</f>
        <v>80.046462307692309</v>
      </c>
      <c r="I43" s="10">
        <f>I20</f>
        <v>80.846926930769229</v>
      </c>
      <c r="J43" s="10">
        <f>J20</f>
        <v>81.655396200076922</v>
      </c>
      <c r="K43" s="10">
        <f>K20</f>
        <v>82.47195016207769</v>
      </c>
      <c r="L43" s="10">
        <f>L20</f>
        <v>83.296669663698466</v>
      </c>
      <c r="M43" s="10">
        <f>M20</f>
        <v>84.129636360335439</v>
      </c>
      <c r="N43" s="10">
        <f>N20</f>
        <v>84.970932723938802</v>
      </c>
      <c r="O43" s="10">
        <f>O20</f>
        <v>85.820642051178197</v>
      </c>
      <c r="P43" s="10">
        <f>P20</f>
        <v>86.678848471689975</v>
      </c>
      <c r="Q43" s="10">
        <f>Q20</f>
        <v>87.545636956406881</v>
      </c>
      <c r="R43" s="10">
        <f>R20</f>
        <v>88.421093325970958</v>
      </c>
    </row>
    <row r="44" spans="1:1006" x14ac:dyDescent="0.35">
      <c r="B44" s="7" t="s">
        <v>91</v>
      </c>
      <c r="C44" s="10"/>
      <c r="D44" s="18">
        <f>D31</f>
        <v>52.084581347384322</v>
      </c>
      <c r="E44" s="18">
        <f>E31</f>
        <v>52.605427160858163</v>
      </c>
      <c r="F44" s="18">
        <f>F31</f>
        <v>53.131481432466749</v>
      </c>
      <c r="G44" s="18">
        <f>G31</f>
        <v>53.662796246791416</v>
      </c>
      <c r="H44" s="18">
        <f>H31</f>
        <v>54.199424209259327</v>
      </c>
      <c r="I44" s="18">
        <f>I31</f>
        <v>54.741418451351919</v>
      </c>
      <c r="J44" s="18">
        <f>J31</f>
        <v>55.28883263586544</v>
      </c>
      <c r="K44" s="18">
        <f>K31</f>
        <v>55.841720962224095</v>
      </c>
      <c r="L44" s="18">
        <f>L31</f>
        <v>56.400138171846336</v>
      </c>
      <c r="M44" s="18">
        <f>M31</f>
        <v>56.964139553564799</v>
      </c>
      <c r="N44" s="18">
        <f t="shared" ref="E44:R44" si="11">N29</f>
        <v>0</v>
      </c>
      <c r="O44" s="18">
        <f t="shared" si="11"/>
        <v>0</v>
      </c>
      <c r="P44" s="18">
        <f t="shared" si="11"/>
        <v>0</v>
      </c>
      <c r="Q44" s="18">
        <f t="shared" si="11"/>
        <v>0</v>
      </c>
      <c r="R44" s="18">
        <f t="shared" si="11"/>
        <v>0</v>
      </c>
    </row>
    <row r="45" spans="1:1006" ht="15" thickBot="1" x14ac:dyDescent="0.4">
      <c r="B45" s="20" t="s">
        <v>22</v>
      </c>
      <c r="C45" s="20"/>
      <c r="D45" s="21">
        <f>D43-D44</f>
        <v>24.838495575692598</v>
      </c>
      <c r="E45" s="21">
        <f t="shared" ref="E45:R45" si="12">E43-E44</f>
        <v>25.08688053144953</v>
      </c>
      <c r="F45" s="21">
        <f t="shared" si="12"/>
        <v>25.337749336764027</v>
      </c>
      <c r="G45" s="21">
        <f t="shared" si="12"/>
        <v>25.591126830131657</v>
      </c>
      <c r="H45" s="21">
        <f>H43-H44</f>
        <v>25.847038098432982</v>
      </c>
      <c r="I45" s="21">
        <f t="shared" si="12"/>
        <v>26.10550847941731</v>
      </c>
      <c r="J45" s="21">
        <f t="shared" si="12"/>
        <v>26.366563564211482</v>
      </c>
      <c r="K45" s="21">
        <f t="shared" si="12"/>
        <v>26.630229199853595</v>
      </c>
      <c r="L45" s="21">
        <f t="shared" si="12"/>
        <v>26.89653149185213</v>
      </c>
      <c r="M45" s="21">
        <f t="shared" si="12"/>
        <v>27.165496806770641</v>
      </c>
      <c r="N45" s="21">
        <f t="shared" si="12"/>
        <v>84.970932723938802</v>
      </c>
      <c r="O45" s="21">
        <f t="shared" si="12"/>
        <v>85.820642051178197</v>
      </c>
      <c r="P45" s="21">
        <f t="shared" si="12"/>
        <v>86.678848471689975</v>
      </c>
      <c r="Q45" s="21">
        <f t="shared" si="12"/>
        <v>87.545636956406881</v>
      </c>
      <c r="R45" s="21">
        <f t="shared" si="12"/>
        <v>88.421093325970958</v>
      </c>
    </row>
    <row r="46" spans="1:1006" ht="15" thickTop="1" x14ac:dyDescent="0.35">
      <c r="B46" s="7" t="s">
        <v>92</v>
      </c>
      <c r="C46" s="26">
        <f>NPV(F4,D45:R45)</f>
        <v>480.03508174825208</v>
      </c>
      <c r="D46" s="22" t="s">
        <v>100</v>
      </c>
      <c r="E46" s="10" t="str">
        <f ca="1">_xlfn.FORMULATEXT(C46)</f>
        <v>=NPV(F4,D45:R45)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006" x14ac:dyDescent="0.35">
      <c r="B47" s="7" t="s">
        <v>93</v>
      </c>
      <c r="C47" s="26">
        <f>C12</f>
        <v>102.66070160124275</v>
      </c>
      <c r="D47" s="22" t="s">
        <v>100</v>
      </c>
      <c r="E47" s="10" t="str">
        <f ca="1">_xlfn.FORMULATEXT(C47)</f>
        <v>=C12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006" x14ac:dyDescent="0.35">
      <c r="B48" s="7" t="s">
        <v>17</v>
      </c>
      <c r="C48" s="26">
        <f>C46-C47</f>
        <v>377.37438014700933</v>
      </c>
      <c r="D48" s="22" t="s">
        <v>100</v>
      </c>
      <c r="E48" s="10" t="str">
        <f ca="1">_xlfn.FORMULATEXT(C48)</f>
        <v>=C46-C47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006" x14ac:dyDescent="0.3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006" x14ac:dyDescent="0.35">
      <c r="B50" s="7" t="s">
        <v>11</v>
      </c>
      <c r="D50" s="10">
        <f>C52</f>
        <v>377.37438014700933</v>
      </c>
      <c r="E50" s="10">
        <f t="shared" ref="E50:R50" si="13">D52</f>
        <v>373.81491517147384</v>
      </c>
      <c r="F50" s="10">
        <f t="shared" si="13"/>
        <v>370.15238278164765</v>
      </c>
      <c r="G50" s="10">
        <f t="shared" si="13"/>
        <v>366.39159927986486</v>
      </c>
      <c r="H50" s="10">
        <f t="shared" si="13"/>
        <v>362.53798636843078</v>
      </c>
      <c r="I50" s="10">
        <f t="shared" si="13"/>
        <v>358.59761172826273</v>
      </c>
      <c r="J50" s="10">
        <f t="shared" si="13"/>
        <v>354.57723184725535</v>
      </c>
      <c r="K50" s="10">
        <f t="shared" si="13"/>
        <v>350.48433721214172</v>
      </c>
      <c r="L50" s="10">
        <f t="shared" si="13"/>
        <v>346.32719998307408</v>
      </c>
      <c r="M50" s="10">
        <f t="shared" si="13"/>
        <v>342.11492427585085</v>
      </c>
      <c r="N50" s="10">
        <f t="shared" si="13"/>
        <v>337.85749918268442</v>
      </c>
      <c r="O50" s="10">
        <f t="shared" si="13"/>
        <v>276.03207371954591</v>
      </c>
      <c r="P50" s="10">
        <f t="shared" si="13"/>
        <v>211.43206690601554</v>
      </c>
      <c r="Q50" s="10">
        <f t="shared" si="13"/>
        <v>143.96057622560801</v>
      </c>
      <c r="R50" s="10">
        <f t="shared" si="13"/>
        <v>73.517610758640103</v>
      </c>
    </row>
    <row r="51" spans="1:1006" x14ac:dyDescent="0.35">
      <c r="B51" s="7" t="s">
        <v>24</v>
      </c>
      <c r="D51" s="10">
        <f>D45-D53-D54-D55</f>
        <v>3.5594649755354872</v>
      </c>
      <c r="E51" s="10">
        <f t="shared" ref="E51:R51" si="14">E45-E53-E54-E55</f>
        <v>3.6625323898261941</v>
      </c>
      <c r="F51" s="10">
        <f t="shared" si="14"/>
        <v>3.7607835017827638</v>
      </c>
      <c r="G51" s="10">
        <f t="shared" si="14"/>
        <v>3.8536129114340678</v>
      </c>
      <c r="H51" s="10">
        <f t="shared" si="14"/>
        <v>3.9403746401680326</v>
      </c>
      <c r="I51" s="10">
        <f t="shared" si="14"/>
        <v>4.0203798810073668</v>
      </c>
      <c r="J51" s="10">
        <f t="shared" si="14"/>
        <v>4.0928946351136002</v>
      </c>
      <c r="K51" s="10">
        <f t="shared" si="14"/>
        <v>4.1571372290676187</v>
      </c>
      <c r="L51" s="10">
        <f t="shared" si="14"/>
        <v>4.2122757072232186</v>
      </c>
      <c r="M51" s="10">
        <f t="shared" si="14"/>
        <v>4.257425093166427</v>
      </c>
      <c r="N51" s="10">
        <f t="shared" si="14"/>
        <v>61.825425463138544</v>
      </c>
      <c r="O51" s="10">
        <f t="shared" si="14"/>
        <v>64.600006813530371</v>
      </c>
      <c r="P51" s="10">
        <f t="shared" si="14"/>
        <v>67.471490680407513</v>
      </c>
      <c r="Q51" s="10">
        <f t="shared" si="14"/>
        <v>70.442965466967905</v>
      </c>
      <c r="R51" s="10">
        <f t="shared" si="14"/>
        <v>73.517610758640615</v>
      </c>
    </row>
    <row r="52" spans="1:1006" ht="15" thickBot="1" x14ac:dyDescent="0.4">
      <c r="B52" s="23" t="s">
        <v>13</v>
      </c>
      <c r="C52" s="26">
        <f>C46-C12</f>
        <v>377.37438014700933</v>
      </c>
      <c r="D52" s="19">
        <f>D50-D51</f>
        <v>373.81491517147384</v>
      </c>
      <c r="E52" s="19">
        <f t="shared" ref="E52:R52" si="15">E50-E51</f>
        <v>370.15238278164765</v>
      </c>
      <c r="F52" s="19">
        <f t="shared" si="15"/>
        <v>366.39159927986486</v>
      </c>
      <c r="G52" s="19">
        <f t="shared" si="15"/>
        <v>362.53798636843078</v>
      </c>
      <c r="H52" s="19">
        <f t="shared" si="15"/>
        <v>358.59761172826273</v>
      </c>
      <c r="I52" s="19">
        <f t="shared" si="15"/>
        <v>354.57723184725535</v>
      </c>
      <c r="J52" s="19">
        <f t="shared" si="15"/>
        <v>350.48433721214172</v>
      </c>
      <c r="K52" s="19">
        <f t="shared" si="15"/>
        <v>346.32719998307408</v>
      </c>
      <c r="L52" s="19">
        <f t="shared" si="15"/>
        <v>342.11492427585085</v>
      </c>
      <c r="M52" s="19">
        <f t="shared" si="15"/>
        <v>337.85749918268442</v>
      </c>
      <c r="N52" s="19">
        <f t="shared" si="15"/>
        <v>276.03207371954591</v>
      </c>
      <c r="O52" s="19">
        <f t="shared" si="15"/>
        <v>211.43206690601554</v>
      </c>
      <c r="P52" s="19">
        <f t="shared" si="15"/>
        <v>143.96057622560801</v>
      </c>
      <c r="Q52" s="19">
        <f t="shared" si="15"/>
        <v>73.517610758640103</v>
      </c>
      <c r="R52" s="19">
        <f t="shared" si="15"/>
        <v>-5.1159076974727213E-13</v>
      </c>
    </row>
    <row r="53" spans="1:1006" x14ac:dyDescent="0.35">
      <c r="B53" s="7" t="s">
        <v>14</v>
      </c>
      <c r="C53" s="27">
        <f>E4</f>
        <v>3.5000000000000003E-2</v>
      </c>
      <c r="D53" s="10">
        <f>$C$53*D50</f>
        <v>13.208103305145327</v>
      </c>
      <c r="E53" s="10">
        <f t="shared" ref="E53:R53" si="16">$C$53*E50</f>
        <v>13.083522031001586</v>
      </c>
      <c r="F53" s="10">
        <f t="shared" si="16"/>
        <v>12.955333397357668</v>
      </c>
      <c r="G53" s="10">
        <f t="shared" si="16"/>
        <v>12.823705974795271</v>
      </c>
      <c r="H53" s="10">
        <f t="shared" si="16"/>
        <v>12.688829522895078</v>
      </c>
      <c r="I53" s="10">
        <f t="shared" si="16"/>
        <v>12.550916410489197</v>
      </c>
      <c r="J53" s="10">
        <f t="shared" si="16"/>
        <v>12.410203114653939</v>
      </c>
      <c r="K53" s="10">
        <f t="shared" si="16"/>
        <v>12.266951802424961</v>
      </c>
      <c r="L53" s="10">
        <f t="shared" si="16"/>
        <v>12.121451999407594</v>
      </c>
      <c r="M53" s="10">
        <f t="shared" si="16"/>
        <v>11.974022349654781</v>
      </c>
      <c r="N53" s="10">
        <f t="shared" si="16"/>
        <v>11.825012471393956</v>
      </c>
      <c r="O53" s="10">
        <f t="shared" si="16"/>
        <v>9.6611225801841076</v>
      </c>
      <c r="P53" s="10">
        <f t="shared" si="16"/>
        <v>7.4001223417105448</v>
      </c>
      <c r="Q53" s="10">
        <f t="shared" si="16"/>
        <v>5.0386201678962808</v>
      </c>
      <c r="R53" s="10">
        <f t="shared" si="16"/>
        <v>2.5731163765524037</v>
      </c>
    </row>
    <row r="54" spans="1:1006" x14ac:dyDescent="0.35">
      <c r="B54" s="7" t="s">
        <v>51</v>
      </c>
      <c r="C54" s="9"/>
      <c r="D54" s="10">
        <f>D53*$C$8/(1-$C$8)</f>
        <v>1.0709272950117832</v>
      </c>
      <c r="E54" s="10">
        <f t="shared" ref="E54:R54" si="17">E53*$C$8/(1-$C$8)</f>
        <v>1.06082611062175</v>
      </c>
      <c r="F54" s="10">
        <f t="shared" si="17"/>
        <v>1.0504324376235945</v>
      </c>
      <c r="G54" s="10">
        <f t="shared" si="17"/>
        <v>1.0397599439023191</v>
      </c>
      <c r="H54" s="10">
        <f t="shared" si="17"/>
        <v>1.0288240153698711</v>
      </c>
      <c r="I54" s="10">
        <f t="shared" si="17"/>
        <v>1.0176418711207456</v>
      </c>
      <c r="J54" s="10">
        <f t="shared" si="17"/>
        <v>1.006232684971941</v>
      </c>
      <c r="K54" s="10">
        <f t="shared" si="17"/>
        <v>0.99461771371013186</v>
      </c>
      <c r="L54" s="10">
        <f t="shared" si="17"/>
        <v>0.98282043238439931</v>
      </c>
      <c r="M54" s="10">
        <f t="shared" si="17"/>
        <v>0.97086667699903617</v>
      </c>
      <c r="N54" s="10">
        <f t="shared" si="17"/>
        <v>0.95878479497788827</v>
      </c>
      <c r="O54" s="10">
        <f t="shared" si="17"/>
        <v>0.7833342632581709</v>
      </c>
      <c r="P54" s="10">
        <f t="shared" si="17"/>
        <v>0.60000991959815231</v>
      </c>
      <c r="Q54" s="10">
        <f t="shared" si="17"/>
        <v>0.40853677036996872</v>
      </c>
      <c r="R54" s="10">
        <f t="shared" si="17"/>
        <v>0.20863105755830297</v>
      </c>
    </row>
    <row r="55" spans="1:1006" x14ac:dyDescent="0.35">
      <c r="B55" s="7" t="s">
        <v>67</v>
      </c>
      <c r="D55" s="10">
        <f>G4</f>
        <v>7</v>
      </c>
      <c r="E55" s="10">
        <f>D55*1.04</f>
        <v>7.28</v>
      </c>
      <c r="F55" s="10">
        <f t="shared" ref="F55:R55" si="18">E55*1.04</f>
        <v>7.5712000000000002</v>
      </c>
      <c r="G55" s="10">
        <f t="shared" si="18"/>
        <v>7.8740480000000002</v>
      </c>
      <c r="H55" s="10">
        <f t="shared" si="18"/>
        <v>8.1890099200000002</v>
      </c>
      <c r="I55" s="10">
        <f t="shared" si="18"/>
        <v>8.5165703168000011</v>
      </c>
      <c r="J55" s="10">
        <f t="shared" si="18"/>
        <v>8.8572331294720019</v>
      </c>
      <c r="K55" s="10">
        <f t="shared" si="18"/>
        <v>9.2115224546508827</v>
      </c>
      <c r="L55" s="10">
        <f t="shared" si="18"/>
        <v>9.5799833528369192</v>
      </c>
      <c r="M55" s="10">
        <f t="shared" si="18"/>
        <v>9.9631826869503968</v>
      </c>
      <c r="N55" s="10">
        <f t="shared" si="18"/>
        <v>10.361709994428413</v>
      </c>
      <c r="O55" s="10">
        <f t="shared" si="18"/>
        <v>10.77617839420555</v>
      </c>
      <c r="P55" s="10">
        <f t="shared" si="18"/>
        <v>11.207225529973773</v>
      </c>
      <c r="Q55" s="10">
        <f t="shared" si="18"/>
        <v>11.655514551172724</v>
      </c>
      <c r="R55" s="10">
        <f t="shared" si="18"/>
        <v>12.121735133219634</v>
      </c>
    </row>
    <row r="57" spans="1:1006" x14ac:dyDescent="0.35">
      <c r="A57" s="16" t="s">
        <v>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  <c r="PQ57" s="16"/>
      <c r="PR57" s="16"/>
      <c r="PS57" s="16"/>
      <c r="PT57" s="16"/>
      <c r="PU57" s="16"/>
      <c r="PV57" s="16"/>
      <c r="PW57" s="16"/>
      <c r="PX57" s="16"/>
      <c r="PY57" s="16"/>
      <c r="PZ57" s="16"/>
      <c r="QA57" s="16"/>
      <c r="QB57" s="16"/>
      <c r="QC57" s="16"/>
      <c r="QD57" s="16"/>
      <c r="QE57" s="16"/>
      <c r="QF57" s="16"/>
      <c r="QG57" s="16"/>
      <c r="QH57" s="16"/>
      <c r="QI57" s="16"/>
      <c r="QJ57" s="16"/>
      <c r="QK57" s="16"/>
      <c r="QL57" s="16"/>
      <c r="QM57" s="16"/>
      <c r="QN57" s="16"/>
      <c r="QO57" s="16"/>
      <c r="QP57" s="16"/>
      <c r="QQ57" s="16"/>
      <c r="QR57" s="16"/>
      <c r="QS57" s="16"/>
      <c r="QT57" s="16"/>
      <c r="QU57" s="16"/>
      <c r="QV57" s="16"/>
      <c r="QW57" s="16"/>
      <c r="QX57" s="16"/>
      <c r="QY57" s="16"/>
      <c r="QZ57" s="16"/>
      <c r="RA57" s="16"/>
      <c r="RB57" s="16"/>
      <c r="RC57" s="16"/>
      <c r="RD57" s="16"/>
      <c r="RE57" s="16"/>
      <c r="RF57" s="16"/>
      <c r="RG57" s="16"/>
      <c r="RH57" s="16"/>
      <c r="RI57" s="16"/>
      <c r="RJ57" s="16"/>
      <c r="RK57" s="16"/>
      <c r="RL57" s="16"/>
      <c r="RM57" s="16"/>
      <c r="RN57" s="16"/>
      <c r="RO57" s="16"/>
      <c r="RP57" s="16"/>
      <c r="RQ57" s="16"/>
      <c r="RR57" s="16"/>
      <c r="RS57" s="16"/>
      <c r="RT57" s="16"/>
      <c r="RU57" s="16"/>
      <c r="RV57" s="16"/>
      <c r="RW57" s="16"/>
      <c r="RX57" s="16"/>
      <c r="RY57" s="16"/>
      <c r="RZ57" s="16"/>
      <c r="SA57" s="16"/>
      <c r="SB57" s="16"/>
      <c r="SC57" s="16"/>
      <c r="SD57" s="16"/>
      <c r="SE57" s="16"/>
      <c r="SF57" s="16"/>
      <c r="SG57" s="16"/>
      <c r="SH57" s="16"/>
      <c r="SI57" s="16"/>
      <c r="SJ57" s="16"/>
      <c r="SK57" s="16"/>
      <c r="SL57" s="16"/>
      <c r="SM57" s="16"/>
      <c r="SN57" s="16"/>
      <c r="SO57" s="16"/>
      <c r="SP57" s="16"/>
      <c r="SQ57" s="16"/>
      <c r="SR57" s="16"/>
      <c r="SS57" s="16"/>
      <c r="ST57" s="16"/>
      <c r="SU57" s="16"/>
      <c r="SV57" s="16"/>
      <c r="SW57" s="16"/>
      <c r="SX57" s="16"/>
      <c r="SY57" s="16"/>
      <c r="SZ57" s="16"/>
      <c r="TA57" s="16"/>
      <c r="TB57" s="16"/>
      <c r="TC57" s="16"/>
      <c r="TD57" s="16"/>
      <c r="TE57" s="16"/>
      <c r="TF57" s="16"/>
      <c r="TG57" s="16"/>
      <c r="TH57" s="16"/>
      <c r="TI57" s="16"/>
      <c r="TJ57" s="16"/>
      <c r="TK57" s="16"/>
      <c r="TL57" s="16"/>
      <c r="TM57" s="16"/>
      <c r="TN57" s="16"/>
      <c r="TO57" s="16"/>
      <c r="TP57" s="16"/>
      <c r="TQ57" s="16"/>
      <c r="TR57" s="16"/>
      <c r="TS57" s="16"/>
      <c r="TT57" s="16"/>
      <c r="TU57" s="16"/>
      <c r="TV57" s="16"/>
      <c r="TW57" s="16"/>
      <c r="TX57" s="16"/>
      <c r="TY57" s="16"/>
      <c r="TZ57" s="16"/>
      <c r="UA57" s="16"/>
      <c r="UB57" s="16"/>
      <c r="UC57" s="16"/>
      <c r="UD57" s="16"/>
      <c r="UE57" s="16"/>
      <c r="UF57" s="16"/>
      <c r="UG57" s="16"/>
      <c r="UH57" s="16"/>
      <c r="UI57" s="16"/>
      <c r="UJ57" s="16"/>
      <c r="UK57" s="16"/>
      <c r="UL57" s="16"/>
      <c r="UM57" s="16"/>
      <c r="UN57" s="16"/>
      <c r="UO57" s="16"/>
      <c r="UP57" s="16"/>
      <c r="UQ57" s="16"/>
      <c r="UR57" s="16"/>
      <c r="US57" s="16"/>
      <c r="UT57" s="16"/>
      <c r="UU57" s="16"/>
      <c r="UV57" s="16"/>
      <c r="UW57" s="16"/>
      <c r="UX57" s="16"/>
      <c r="UY57" s="16"/>
      <c r="UZ57" s="16"/>
      <c r="VA57" s="16"/>
      <c r="VB57" s="16"/>
      <c r="VC57" s="16"/>
      <c r="VD57" s="16"/>
      <c r="VE57" s="16"/>
      <c r="VF57" s="16"/>
      <c r="VG57" s="16"/>
      <c r="VH57" s="16"/>
      <c r="VI57" s="16"/>
      <c r="VJ57" s="16"/>
      <c r="VK57" s="16"/>
      <c r="VL57" s="16"/>
      <c r="VM57" s="16"/>
      <c r="VN57" s="16"/>
      <c r="VO57" s="16"/>
      <c r="VP57" s="16"/>
      <c r="VQ57" s="16"/>
      <c r="VR57" s="16"/>
      <c r="VS57" s="16"/>
      <c r="VT57" s="16"/>
      <c r="VU57" s="16"/>
      <c r="VV57" s="16"/>
      <c r="VW57" s="16"/>
      <c r="VX57" s="16"/>
      <c r="VY57" s="16"/>
      <c r="VZ57" s="16"/>
      <c r="WA57" s="16"/>
      <c r="WB57" s="16"/>
      <c r="WC57" s="16"/>
      <c r="WD57" s="16"/>
      <c r="WE57" s="16"/>
      <c r="WF57" s="16"/>
      <c r="WG57" s="16"/>
      <c r="WH57" s="16"/>
      <c r="WI57" s="16"/>
      <c r="WJ57" s="16"/>
      <c r="WK57" s="16"/>
      <c r="WL57" s="16"/>
      <c r="WM57" s="16"/>
      <c r="WN57" s="16"/>
      <c r="WO57" s="16"/>
      <c r="WP57" s="16"/>
      <c r="WQ57" s="16"/>
      <c r="WR57" s="16"/>
      <c r="WS57" s="16"/>
      <c r="WT57" s="16"/>
      <c r="WU57" s="16"/>
      <c r="WV57" s="16"/>
      <c r="WW57" s="16"/>
      <c r="WX57" s="16"/>
      <c r="WY57" s="16"/>
      <c r="WZ57" s="16"/>
      <c r="XA57" s="16"/>
      <c r="XB57" s="16"/>
      <c r="XC57" s="16"/>
      <c r="XD57" s="16"/>
      <c r="XE57" s="16"/>
      <c r="XF57" s="16"/>
      <c r="XG57" s="16"/>
      <c r="XH57" s="16"/>
      <c r="XI57" s="16"/>
      <c r="XJ57" s="16"/>
      <c r="XK57" s="16"/>
      <c r="XL57" s="16"/>
      <c r="XM57" s="16"/>
      <c r="XN57" s="16"/>
      <c r="XO57" s="16"/>
      <c r="XP57" s="16"/>
      <c r="XQ57" s="16"/>
      <c r="XR57" s="16"/>
      <c r="XS57" s="16"/>
      <c r="XT57" s="16"/>
      <c r="XU57" s="16"/>
      <c r="XV57" s="16"/>
      <c r="XW57" s="16"/>
      <c r="XX57" s="16"/>
      <c r="XY57" s="16"/>
      <c r="XZ57" s="16"/>
      <c r="YA57" s="16"/>
      <c r="YB57" s="16"/>
      <c r="YC57" s="16"/>
      <c r="YD57" s="16"/>
      <c r="YE57" s="16"/>
      <c r="YF57" s="16"/>
      <c r="YG57" s="16"/>
      <c r="YH57" s="16"/>
      <c r="YI57" s="16"/>
      <c r="YJ57" s="16"/>
      <c r="YK57" s="16"/>
      <c r="YL57" s="16"/>
      <c r="YM57" s="16"/>
      <c r="YN57" s="16"/>
      <c r="YO57" s="16"/>
      <c r="YP57" s="16"/>
      <c r="YQ57" s="16"/>
      <c r="YR57" s="16"/>
      <c r="YS57" s="16"/>
      <c r="YT57" s="16"/>
      <c r="YU57" s="16"/>
      <c r="YV57" s="16"/>
      <c r="YW57" s="16"/>
      <c r="YX57" s="16"/>
      <c r="YY57" s="16"/>
      <c r="YZ57" s="16"/>
      <c r="ZA57" s="16"/>
      <c r="ZB57" s="16"/>
      <c r="ZC57" s="16"/>
      <c r="ZD57" s="16"/>
      <c r="ZE57" s="16"/>
      <c r="ZF57" s="16"/>
      <c r="ZG57" s="16"/>
      <c r="ZH57" s="16"/>
      <c r="ZI57" s="16"/>
      <c r="ZJ57" s="16"/>
      <c r="ZK57" s="16"/>
      <c r="ZL57" s="16"/>
      <c r="ZM57" s="16"/>
      <c r="ZN57" s="16"/>
      <c r="ZO57" s="16"/>
      <c r="ZP57" s="16"/>
      <c r="ZQ57" s="16"/>
      <c r="ZR57" s="16"/>
      <c r="ZS57" s="16"/>
      <c r="ZT57" s="16"/>
      <c r="ZU57" s="16"/>
      <c r="ZV57" s="16"/>
      <c r="ZW57" s="16"/>
      <c r="ZX57" s="16"/>
      <c r="ZY57" s="16"/>
      <c r="ZZ57" s="16"/>
      <c r="AAA57" s="16"/>
      <c r="AAB57" s="16"/>
      <c r="AAC57" s="16"/>
      <c r="AAD57" s="16"/>
      <c r="AAE57" s="16"/>
      <c r="AAF57" s="16"/>
      <c r="AAG57" s="16"/>
      <c r="AAH57" s="16"/>
      <c r="AAI57" s="16"/>
      <c r="AAJ57" s="16"/>
      <c r="AAK57" s="16"/>
      <c r="AAL57" s="16"/>
      <c r="AAM57" s="16"/>
      <c r="AAN57" s="16"/>
      <c r="AAO57" s="16"/>
      <c r="AAP57" s="16"/>
      <c r="AAQ57" s="16"/>
      <c r="AAR57" s="16"/>
      <c r="AAS57" s="16"/>
      <c r="AAT57" s="16"/>
      <c r="AAU57" s="16"/>
      <c r="AAV57" s="16"/>
      <c r="AAW57" s="16"/>
      <c r="AAX57" s="16"/>
      <c r="AAY57" s="16"/>
      <c r="AAZ57" s="16"/>
      <c r="ABA57" s="16"/>
      <c r="ABB57" s="16"/>
      <c r="ABC57" s="16"/>
      <c r="ABD57" s="16"/>
      <c r="ABE57" s="16"/>
      <c r="ABF57" s="16"/>
      <c r="ABG57" s="16"/>
      <c r="ABH57" s="16"/>
      <c r="ABI57" s="16"/>
      <c r="ABJ57" s="16"/>
      <c r="ABK57" s="16"/>
      <c r="ABL57" s="16"/>
      <c r="ABM57" s="16"/>
      <c r="ABN57" s="16"/>
      <c r="ABO57" s="16"/>
      <c r="ABP57" s="16"/>
      <c r="ABQ57" s="16"/>
      <c r="ABR57" s="16"/>
      <c r="ABS57" s="16"/>
      <c r="ABT57" s="16"/>
      <c r="ABU57" s="16"/>
      <c r="ABV57" s="16"/>
      <c r="ABW57" s="16"/>
      <c r="ABX57" s="16"/>
      <c r="ABY57" s="16"/>
      <c r="ABZ57" s="16"/>
      <c r="ACA57" s="16"/>
      <c r="ACB57" s="16"/>
      <c r="ACC57" s="16"/>
      <c r="ACD57" s="16"/>
      <c r="ACE57" s="16"/>
      <c r="ACF57" s="16"/>
      <c r="ACG57" s="16"/>
      <c r="ACH57" s="16"/>
      <c r="ACI57" s="16"/>
      <c r="ACJ57" s="16"/>
      <c r="ACK57" s="16"/>
      <c r="ACL57" s="16"/>
      <c r="ACM57" s="16"/>
      <c r="ACN57" s="16"/>
      <c r="ACO57" s="16"/>
      <c r="ACP57" s="16"/>
      <c r="ACQ57" s="16"/>
      <c r="ACR57" s="16"/>
      <c r="ACS57" s="16"/>
      <c r="ACT57" s="16"/>
      <c r="ACU57" s="16"/>
      <c r="ACV57" s="16"/>
      <c r="ACW57" s="16"/>
      <c r="ACX57" s="16"/>
      <c r="ACY57" s="16"/>
      <c r="ACZ57" s="16"/>
      <c r="ADA57" s="16"/>
      <c r="ADB57" s="16"/>
      <c r="ADC57" s="16"/>
      <c r="ADD57" s="16"/>
      <c r="ADE57" s="16"/>
      <c r="ADF57" s="16"/>
      <c r="ADG57" s="16"/>
      <c r="ADH57" s="16"/>
      <c r="ADI57" s="16"/>
      <c r="ADJ57" s="16"/>
      <c r="ADK57" s="16"/>
      <c r="ADL57" s="16"/>
      <c r="ADM57" s="16"/>
      <c r="ADN57" s="16"/>
      <c r="ADO57" s="16"/>
      <c r="ADP57" s="16"/>
      <c r="ADQ57" s="16"/>
      <c r="ADR57" s="16"/>
      <c r="ADS57" s="16"/>
      <c r="ADT57" s="16"/>
      <c r="ADU57" s="16"/>
      <c r="ADV57" s="16"/>
      <c r="ADW57" s="16"/>
      <c r="ADX57" s="16"/>
      <c r="ADY57" s="16"/>
      <c r="ADZ57" s="16"/>
      <c r="AEA57" s="16"/>
      <c r="AEB57" s="16"/>
      <c r="AEC57" s="16"/>
      <c r="AED57" s="16"/>
      <c r="AEE57" s="16"/>
      <c r="AEF57" s="16"/>
      <c r="AEG57" s="16"/>
      <c r="AEH57" s="16"/>
      <c r="AEI57" s="16"/>
      <c r="AEJ57" s="16"/>
      <c r="AEK57" s="16"/>
      <c r="AEL57" s="16"/>
      <c r="AEM57" s="16"/>
      <c r="AEN57" s="16"/>
      <c r="AEO57" s="16"/>
      <c r="AEP57" s="16"/>
      <c r="AEQ57" s="16"/>
      <c r="AER57" s="16"/>
      <c r="AES57" s="16"/>
      <c r="AET57" s="16"/>
      <c r="AEU57" s="16"/>
      <c r="AEV57" s="16"/>
      <c r="AEW57" s="16"/>
      <c r="AEX57" s="16"/>
      <c r="AEY57" s="16"/>
      <c r="AEZ57" s="16"/>
      <c r="AFA57" s="16"/>
      <c r="AFB57" s="16"/>
      <c r="AFC57" s="16"/>
      <c r="AFD57" s="16"/>
      <c r="AFE57" s="16"/>
      <c r="AFF57" s="16"/>
      <c r="AFG57" s="16"/>
      <c r="AFH57" s="16"/>
      <c r="AFI57" s="16"/>
      <c r="AFJ57" s="16"/>
      <c r="AFK57" s="16"/>
      <c r="AFL57" s="16"/>
      <c r="AFM57" s="16"/>
      <c r="AFN57" s="16"/>
      <c r="AFO57" s="16"/>
      <c r="AFP57" s="16"/>
      <c r="AFQ57" s="16"/>
      <c r="AFR57" s="16"/>
      <c r="AFS57" s="16"/>
      <c r="AFT57" s="16"/>
      <c r="AFU57" s="16"/>
      <c r="AFV57" s="16"/>
      <c r="AFW57" s="16"/>
      <c r="AFX57" s="16"/>
      <c r="AFY57" s="16"/>
      <c r="AFZ57" s="16"/>
      <c r="AGA57" s="16"/>
      <c r="AGB57" s="16"/>
      <c r="AGC57" s="16"/>
      <c r="AGD57" s="16"/>
      <c r="AGE57" s="16"/>
      <c r="AGF57" s="16"/>
      <c r="AGG57" s="16"/>
      <c r="AGH57" s="16"/>
      <c r="AGI57" s="16"/>
      <c r="AGJ57" s="16"/>
      <c r="AGK57" s="16"/>
      <c r="AGL57" s="16"/>
      <c r="AGM57" s="16"/>
      <c r="AGN57" s="16"/>
      <c r="AGO57" s="16"/>
      <c r="AGP57" s="16"/>
      <c r="AGQ57" s="16"/>
      <c r="AGR57" s="16"/>
      <c r="AGS57" s="16"/>
      <c r="AGT57" s="16"/>
      <c r="AGU57" s="16"/>
      <c r="AGV57" s="16"/>
      <c r="AGW57" s="16"/>
      <c r="AGX57" s="16"/>
      <c r="AGY57" s="16"/>
      <c r="AGZ57" s="16"/>
      <c r="AHA57" s="16"/>
      <c r="AHB57" s="16"/>
      <c r="AHC57" s="16"/>
      <c r="AHD57" s="16"/>
      <c r="AHE57" s="16"/>
      <c r="AHF57" s="16"/>
      <c r="AHG57" s="16"/>
      <c r="AHH57" s="16"/>
      <c r="AHI57" s="16"/>
      <c r="AHJ57" s="16"/>
      <c r="AHK57" s="16"/>
      <c r="AHL57" s="16"/>
      <c r="AHM57" s="16"/>
      <c r="AHN57" s="16"/>
      <c r="AHO57" s="16"/>
      <c r="AHP57" s="16"/>
      <c r="AHQ57" s="16"/>
      <c r="AHR57" s="16"/>
      <c r="AHS57" s="16"/>
      <c r="AHT57" s="16"/>
      <c r="AHU57" s="16"/>
      <c r="AHV57" s="16"/>
      <c r="AHW57" s="16"/>
      <c r="AHX57" s="16"/>
      <c r="AHY57" s="16"/>
      <c r="AHZ57" s="16"/>
      <c r="AIA57" s="16"/>
      <c r="AIB57" s="16"/>
      <c r="AIC57" s="16"/>
      <c r="AID57" s="16"/>
      <c r="AIE57" s="16"/>
      <c r="AIF57" s="16"/>
      <c r="AIG57" s="16"/>
      <c r="AIH57" s="16"/>
      <c r="AII57" s="16"/>
      <c r="AIJ57" s="16"/>
      <c r="AIK57" s="16"/>
      <c r="AIL57" s="16"/>
      <c r="AIM57" s="16"/>
      <c r="AIN57" s="16"/>
      <c r="AIO57" s="16"/>
      <c r="AIP57" s="16"/>
      <c r="AIQ57" s="16"/>
      <c r="AIR57" s="16"/>
      <c r="AIS57" s="16"/>
      <c r="AIT57" s="16"/>
      <c r="AIU57" s="16"/>
      <c r="AIV57" s="16"/>
      <c r="AIW57" s="16"/>
      <c r="AIX57" s="16"/>
      <c r="AIY57" s="16"/>
      <c r="AIZ57" s="16"/>
      <c r="AJA57" s="16"/>
      <c r="AJB57" s="16"/>
      <c r="AJC57" s="16"/>
      <c r="AJD57" s="16"/>
      <c r="AJE57" s="16"/>
      <c r="AJF57" s="16"/>
      <c r="AJG57" s="16"/>
      <c r="AJH57" s="16"/>
      <c r="AJI57" s="16"/>
      <c r="AJJ57" s="16"/>
      <c r="AJK57" s="16"/>
      <c r="AJL57" s="16"/>
      <c r="AJM57" s="16"/>
      <c r="AJN57" s="16"/>
      <c r="AJO57" s="16"/>
      <c r="AJP57" s="16"/>
      <c r="AJQ57" s="16"/>
      <c r="AJR57" s="16"/>
      <c r="AJS57" s="16"/>
      <c r="AJT57" s="16"/>
      <c r="AJU57" s="16"/>
      <c r="AJV57" s="16"/>
      <c r="AJW57" s="16"/>
      <c r="AJX57" s="16"/>
      <c r="AJY57" s="16"/>
      <c r="AJZ57" s="16"/>
      <c r="AKA57" s="16"/>
      <c r="AKB57" s="16"/>
      <c r="AKC57" s="16"/>
      <c r="AKD57" s="16"/>
      <c r="AKE57" s="16"/>
      <c r="AKF57" s="16"/>
      <c r="AKG57" s="16"/>
      <c r="AKH57" s="16"/>
      <c r="AKI57" s="16"/>
      <c r="AKJ57" s="16"/>
      <c r="AKK57" s="16"/>
      <c r="AKL57" s="16"/>
      <c r="AKM57" s="16"/>
      <c r="AKN57" s="16"/>
      <c r="AKO57" s="16"/>
      <c r="AKP57" s="16"/>
      <c r="AKQ57" s="16"/>
      <c r="AKR57" s="16"/>
      <c r="AKS57" s="16"/>
      <c r="AKT57" s="16"/>
      <c r="AKU57" s="16"/>
      <c r="AKV57" s="16"/>
      <c r="AKW57" s="16"/>
      <c r="AKX57" s="16"/>
      <c r="AKY57" s="16"/>
      <c r="AKZ57" s="16"/>
      <c r="ALA57" s="16"/>
      <c r="ALB57" s="16"/>
      <c r="ALC57" s="16"/>
      <c r="ALD57" s="16"/>
      <c r="ALE57" s="16"/>
      <c r="ALF57" s="16"/>
      <c r="ALG57" s="16"/>
      <c r="ALH57" s="16"/>
      <c r="ALI57" s="16"/>
      <c r="ALJ57" s="16"/>
      <c r="ALK57" s="16"/>
      <c r="ALL57" s="16"/>
      <c r="ALM57" s="16"/>
      <c r="ALN57" s="16"/>
      <c r="ALO57" s="16"/>
      <c r="ALP57" s="16"/>
      <c r="ALQ57" s="16"/>
      <c r="ALR57" s="16"/>
    </row>
    <row r="58" spans="1:1006" x14ac:dyDescent="0.35">
      <c r="B58" s="7" t="s">
        <v>95</v>
      </c>
      <c r="C58" s="26">
        <f>C14</f>
        <v>183.87475044332533</v>
      </c>
    </row>
    <row r="59" spans="1:1006" x14ac:dyDescent="0.35">
      <c r="B59" s="7" t="s">
        <v>102</v>
      </c>
      <c r="C59" s="26">
        <f>C35</f>
        <v>308.76085648386697</v>
      </c>
    </row>
    <row r="60" spans="1:1006" x14ac:dyDescent="0.35">
      <c r="B60" s="7" t="s">
        <v>103</v>
      </c>
      <c r="C60" s="26">
        <f>C52</f>
        <v>377.37438014700933</v>
      </c>
    </row>
    <row r="61" spans="1:1006" ht="15" thickBot="1" x14ac:dyDescent="0.4">
      <c r="B61" s="23" t="s">
        <v>104</v>
      </c>
      <c r="C61" s="25">
        <f>SUM(C58:C60)</f>
        <v>870.0099870742016</v>
      </c>
    </row>
    <row r="63" spans="1:1006" x14ac:dyDescent="0.35">
      <c r="B63" s="7" t="s">
        <v>26</v>
      </c>
      <c r="C63" s="26">
        <f>-C52-C35-C14</f>
        <v>-870.0099870742016</v>
      </c>
      <c r="D63" s="10">
        <f>D45+D31</f>
        <v>76.92307692307692</v>
      </c>
      <c r="E63" s="10">
        <f>E45+E31</f>
        <v>77.692307692307693</v>
      </c>
      <c r="F63" s="10">
        <f>F45+F31</f>
        <v>78.469230769230776</v>
      </c>
      <c r="G63" s="10">
        <f>G45+G31</f>
        <v>79.253923076923073</v>
      </c>
      <c r="H63" s="10">
        <f>H45+H31</f>
        <v>80.046462307692309</v>
      </c>
      <c r="I63" s="10">
        <f>I45+I31</f>
        <v>80.846926930769229</v>
      </c>
      <c r="J63" s="10">
        <f>J45+J31</f>
        <v>81.655396200076922</v>
      </c>
      <c r="K63" s="10">
        <f>K45+K31</f>
        <v>82.47195016207769</v>
      </c>
      <c r="L63" s="10">
        <f>L45+L31</f>
        <v>83.296669663698466</v>
      </c>
      <c r="M63" s="10">
        <f>M45+M31</f>
        <v>84.129636360335439</v>
      </c>
      <c r="N63" s="10">
        <f t="shared" ref="D63:R63" si="19">N45+N29</f>
        <v>84.970932723938802</v>
      </c>
      <c r="O63" s="10">
        <f t="shared" si="19"/>
        <v>85.820642051178197</v>
      </c>
      <c r="P63" s="10">
        <f t="shared" si="19"/>
        <v>86.678848471689975</v>
      </c>
      <c r="Q63" s="10">
        <f t="shared" si="19"/>
        <v>87.545636956406881</v>
      </c>
      <c r="R63" s="10">
        <f t="shared" si="19"/>
        <v>88.421093325970958</v>
      </c>
    </row>
    <row r="64" spans="1:1006" x14ac:dyDescent="0.35">
      <c r="B64" s="7" t="s">
        <v>28</v>
      </c>
      <c r="C64" s="27">
        <f>IRR(C63:R63)</f>
        <v>4.6518363098051019E-2</v>
      </c>
      <c r="D64" s="7" t="s">
        <v>31</v>
      </c>
      <c r="F64" s="7" t="str">
        <f ca="1">_xlfn.FORMULATEXT(Computed)</f>
        <v>=IRR(C63:R63)</v>
      </c>
    </row>
    <row r="65" spans="1:1006" x14ac:dyDescent="0.35">
      <c r="B65" s="7" t="s">
        <v>29</v>
      </c>
      <c r="C65" s="14">
        <v>4.6518363098051019E-2</v>
      </c>
      <c r="D65" s="7" t="s">
        <v>32</v>
      </c>
    </row>
    <row r="66" spans="1:1006" x14ac:dyDescent="0.35">
      <c r="B66" s="7" t="s">
        <v>30</v>
      </c>
      <c r="C66" s="27">
        <f>C64-C65</f>
        <v>0</v>
      </c>
      <c r="D66" s="7" t="s">
        <v>30</v>
      </c>
    </row>
    <row r="69" spans="1:1006" x14ac:dyDescent="0.35">
      <c r="A69" s="16" t="s">
        <v>53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 s="16"/>
      <c r="OJ69" s="16"/>
      <c r="OK69" s="16"/>
      <c r="OL69" s="16"/>
      <c r="OM69" s="16"/>
      <c r="ON69" s="16"/>
      <c r="OO69" s="16"/>
      <c r="OP69" s="16"/>
      <c r="OQ69" s="16"/>
      <c r="OR69" s="16"/>
      <c r="OS69" s="16"/>
      <c r="OT69" s="16"/>
      <c r="OU69" s="16"/>
      <c r="OV69" s="16"/>
      <c r="OW69" s="16"/>
      <c r="OX69" s="16"/>
      <c r="OY69" s="16"/>
      <c r="OZ69" s="16"/>
      <c r="PA69" s="16"/>
      <c r="PB69" s="16"/>
      <c r="PC69" s="16"/>
      <c r="PD69" s="16"/>
      <c r="PE69" s="16"/>
      <c r="PF69" s="16"/>
      <c r="PG69" s="16"/>
      <c r="PH69" s="16"/>
      <c r="PI69" s="16"/>
      <c r="PJ69" s="16"/>
      <c r="PK69" s="16"/>
      <c r="PL69" s="16"/>
      <c r="PM69" s="16"/>
      <c r="PN69" s="16"/>
      <c r="PO69" s="16"/>
      <c r="PP69" s="16"/>
      <c r="PQ69" s="16"/>
      <c r="PR69" s="16"/>
      <c r="PS69" s="16"/>
      <c r="PT69" s="16"/>
      <c r="PU69" s="16"/>
      <c r="PV69" s="16"/>
      <c r="PW69" s="16"/>
      <c r="PX69" s="16"/>
      <c r="PY69" s="16"/>
      <c r="PZ69" s="16"/>
      <c r="QA69" s="16"/>
      <c r="QB69" s="16"/>
      <c r="QC69" s="16"/>
      <c r="QD69" s="16"/>
      <c r="QE69" s="16"/>
      <c r="QF69" s="16"/>
      <c r="QG69" s="16"/>
      <c r="QH69" s="16"/>
      <c r="QI69" s="16"/>
      <c r="QJ69" s="16"/>
      <c r="QK69" s="16"/>
      <c r="QL69" s="16"/>
      <c r="QM69" s="16"/>
      <c r="QN69" s="16"/>
      <c r="QO69" s="16"/>
      <c r="QP69" s="16"/>
      <c r="QQ69" s="16"/>
      <c r="QR69" s="16"/>
      <c r="QS69" s="16"/>
      <c r="QT69" s="16"/>
      <c r="QU69" s="16"/>
      <c r="QV69" s="16"/>
      <c r="QW69" s="16"/>
      <c r="QX69" s="16"/>
      <c r="QY69" s="16"/>
      <c r="QZ69" s="16"/>
      <c r="RA69" s="16"/>
      <c r="RB69" s="16"/>
      <c r="RC69" s="16"/>
      <c r="RD69" s="16"/>
      <c r="RE69" s="16"/>
      <c r="RF69" s="16"/>
      <c r="RG69" s="16"/>
      <c r="RH69" s="16"/>
      <c r="RI69" s="16"/>
      <c r="RJ69" s="16"/>
      <c r="RK69" s="16"/>
      <c r="RL69" s="16"/>
      <c r="RM69" s="16"/>
      <c r="RN69" s="16"/>
      <c r="RO69" s="16"/>
      <c r="RP69" s="16"/>
      <c r="RQ69" s="16"/>
      <c r="RR69" s="16"/>
      <c r="RS69" s="16"/>
      <c r="RT69" s="16"/>
      <c r="RU69" s="16"/>
      <c r="RV69" s="16"/>
      <c r="RW69" s="16"/>
      <c r="RX69" s="16"/>
      <c r="RY69" s="16"/>
      <c r="RZ69" s="16"/>
      <c r="SA69" s="16"/>
      <c r="SB69" s="16"/>
      <c r="SC69" s="16"/>
      <c r="SD69" s="16"/>
      <c r="SE69" s="16"/>
      <c r="SF69" s="16"/>
      <c r="SG69" s="16"/>
      <c r="SH69" s="16"/>
      <c r="SI69" s="16"/>
      <c r="SJ69" s="16"/>
      <c r="SK69" s="16"/>
      <c r="SL69" s="16"/>
      <c r="SM69" s="16"/>
      <c r="SN69" s="16"/>
      <c r="SO69" s="16"/>
      <c r="SP69" s="16"/>
      <c r="SQ69" s="16"/>
      <c r="SR69" s="16"/>
      <c r="SS69" s="16"/>
      <c r="ST69" s="16"/>
      <c r="SU69" s="16"/>
      <c r="SV69" s="16"/>
      <c r="SW69" s="16"/>
      <c r="SX69" s="16"/>
      <c r="SY69" s="16"/>
      <c r="SZ69" s="16"/>
      <c r="TA69" s="16"/>
      <c r="TB69" s="16"/>
      <c r="TC69" s="16"/>
      <c r="TD69" s="16"/>
      <c r="TE69" s="16"/>
      <c r="TF69" s="16"/>
      <c r="TG69" s="16"/>
      <c r="TH69" s="16"/>
      <c r="TI69" s="16"/>
      <c r="TJ69" s="16"/>
      <c r="TK69" s="16"/>
      <c r="TL69" s="16"/>
      <c r="TM69" s="16"/>
      <c r="TN69" s="16"/>
      <c r="TO69" s="16"/>
      <c r="TP69" s="16"/>
      <c r="TQ69" s="16"/>
      <c r="TR69" s="16"/>
      <c r="TS69" s="16"/>
      <c r="TT69" s="16"/>
      <c r="TU69" s="16"/>
      <c r="TV69" s="16"/>
      <c r="TW69" s="16"/>
      <c r="TX69" s="16"/>
      <c r="TY69" s="16"/>
      <c r="TZ69" s="16"/>
      <c r="UA69" s="16"/>
      <c r="UB69" s="16"/>
      <c r="UC69" s="16"/>
      <c r="UD69" s="16"/>
      <c r="UE69" s="16"/>
      <c r="UF69" s="16"/>
      <c r="UG69" s="16"/>
      <c r="UH69" s="16"/>
      <c r="UI69" s="16"/>
      <c r="UJ69" s="16"/>
      <c r="UK69" s="16"/>
      <c r="UL69" s="16"/>
      <c r="UM69" s="16"/>
      <c r="UN69" s="16"/>
      <c r="UO69" s="16"/>
      <c r="UP69" s="16"/>
      <c r="UQ69" s="16"/>
      <c r="UR69" s="16"/>
      <c r="US69" s="16"/>
      <c r="UT69" s="16"/>
      <c r="UU69" s="16"/>
      <c r="UV69" s="16"/>
      <c r="UW69" s="16"/>
      <c r="UX69" s="16"/>
      <c r="UY69" s="16"/>
      <c r="UZ69" s="16"/>
      <c r="VA69" s="16"/>
      <c r="VB69" s="16"/>
      <c r="VC69" s="16"/>
      <c r="VD69" s="16"/>
      <c r="VE69" s="16"/>
      <c r="VF69" s="16"/>
      <c r="VG69" s="16"/>
      <c r="VH69" s="16"/>
      <c r="VI69" s="16"/>
      <c r="VJ69" s="16"/>
      <c r="VK69" s="16"/>
      <c r="VL69" s="16"/>
      <c r="VM69" s="16"/>
      <c r="VN69" s="16"/>
      <c r="VO69" s="16"/>
      <c r="VP69" s="16"/>
      <c r="VQ69" s="16"/>
      <c r="VR69" s="16"/>
      <c r="VS69" s="16"/>
      <c r="VT69" s="16"/>
      <c r="VU69" s="16"/>
      <c r="VV69" s="16"/>
      <c r="VW69" s="16"/>
      <c r="VX69" s="16"/>
      <c r="VY69" s="16"/>
      <c r="VZ69" s="16"/>
      <c r="WA69" s="16"/>
      <c r="WB69" s="16"/>
      <c r="WC69" s="16"/>
      <c r="WD69" s="16"/>
      <c r="WE69" s="16"/>
      <c r="WF69" s="16"/>
      <c r="WG69" s="16"/>
      <c r="WH69" s="16"/>
      <c r="WI69" s="16"/>
      <c r="WJ69" s="16"/>
      <c r="WK69" s="16"/>
      <c r="WL69" s="16"/>
      <c r="WM69" s="16"/>
      <c r="WN69" s="16"/>
      <c r="WO69" s="16"/>
      <c r="WP69" s="16"/>
      <c r="WQ69" s="16"/>
      <c r="WR69" s="16"/>
      <c r="WS69" s="16"/>
      <c r="WT69" s="16"/>
      <c r="WU69" s="16"/>
      <c r="WV69" s="16"/>
      <c r="WW69" s="16"/>
      <c r="WX69" s="16"/>
      <c r="WY69" s="16"/>
      <c r="WZ69" s="16"/>
      <c r="XA69" s="16"/>
      <c r="XB69" s="16"/>
      <c r="XC69" s="16"/>
      <c r="XD69" s="16"/>
      <c r="XE69" s="16"/>
      <c r="XF69" s="16"/>
      <c r="XG69" s="16"/>
      <c r="XH69" s="16"/>
      <c r="XI69" s="16"/>
      <c r="XJ69" s="16"/>
      <c r="XK69" s="16"/>
      <c r="XL69" s="16"/>
      <c r="XM69" s="16"/>
      <c r="XN69" s="16"/>
      <c r="XO69" s="16"/>
      <c r="XP69" s="16"/>
      <c r="XQ69" s="16"/>
      <c r="XR69" s="16"/>
      <c r="XS69" s="16"/>
      <c r="XT69" s="16"/>
      <c r="XU69" s="16"/>
      <c r="XV69" s="16"/>
      <c r="XW69" s="16"/>
      <c r="XX69" s="16"/>
      <c r="XY69" s="16"/>
      <c r="XZ69" s="16"/>
      <c r="YA69" s="16"/>
      <c r="YB69" s="16"/>
      <c r="YC69" s="16"/>
      <c r="YD69" s="16"/>
      <c r="YE69" s="16"/>
      <c r="YF69" s="16"/>
      <c r="YG69" s="16"/>
      <c r="YH69" s="16"/>
      <c r="YI69" s="16"/>
      <c r="YJ69" s="16"/>
      <c r="YK69" s="16"/>
      <c r="YL69" s="16"/>
      <c r="YM69" s="16"/>
      <c r="YN69" s="16"/>
      <c r="YO69" s="16"/>
      <c r="YP69" s="16"/>
      <c r="YQ69" s="16"/>
      <c r="YR69" s="16"/>
      <c r="YS69" s="16"/>
      <c r="YT69" s="16"/>
      <c r="YU69" s="16"/>
      <c r="YV69" s="16"/>
      <c r="YW69" s="16"/>
      <c r="YX69" s="16"/>
      <c r="YY69" s="16"/>
      <c r="YZ69" s="16"/>
      <c r="ZA69" s="16"/>
      <c r="ZB69" s="16"/>
      <c r="ZC69" s="16"/>
      <c r="ZD69" s="16"/>
      <c r="ZE69" s="16"/>
      <c r="ZF69" s="16"/>
      <c r="ZG69" s="16"/>
      <c r="ZH69" s="16"/>
      <c r="ZI69" s="16"/>
      <c r="ZJ69" s="16"/>
      <c r="ZK69" s="16"/>
      <c r="ZL69" s="16"/>
      <c r="ZM69" s="16"/>
      <c r="ZN69" s="16"/>
      <c r="ZO69" s="16"/>
      <c r="ZP69" s="16"/>
      <c r="ZQ69" s="16"/>
      <c r="ZR69" s="16"/>
      <c r="ZS69" s="16"/>
      <c r="ZT69" s="16"/>
      <c r="ZU69" s="16"/>
      <c r="ZV69" s="16"/>
      <c r="ZW69" s="16"/>
      <c r="ZX69" s="16"/>
      <c r="ZY69" s="16"/>
      <c r="ZZ69" s="16"/>
      <c r="AAA69" s="16"/>
      <c r="AAB69" s="16"/>
      <c r="AAC69" s="16"/>
      <c r="AAD69" s="16"/>
      <c r="AAE69" s="16"/>
      <c r="AAF69" s="16"/>
      <c r="AAG69" s="16"/>
      <c r="AAH69" s="16"/>
      <c r="AAI69" s="16"/>
      <c r="AAJ69" s="16"/>
      <c r="AAK69" s="16"/>
      <c r="AAL69" s="16"/>
      <c r="AAM69" s="16"/>
      <c r="AAN69" s="16"/>
      <c r="AAO69" s="16"/>
      <c r="AAP69" s="16"/>
      <c r="AAQ69" s="16"/>
      <c r="AAR69" s="16"/>
      <c r="AAS69" s="16"/>
      <c r="AAT69" s="16"/>
      <c r="AAU69" s="16"/>
      <c r="AAV69" s="16"/>
      <c r="AAW69" s="16"/>
      <c r="AAX69" s="16"/>
      <c r="AAY69" s="16"/>
      <c r="AAZ69" s="16"/>
      <c r="ABA69" s="16"/>
      <c r="ABB69" s="16"/>
      <c r="ABC69" s="16"/>
      <c r="ABD69" s="16"/>
      <c r="ABE69" s="16"/>
      <c r="ABF69" s="16"/>
      <c r="ABG69" s="16"/>
      <c r="ABH69" s="16"/>
      <c r="ABI69" s="16"/>
      <c r="ABJ69" s="16"/>
      <c r="ABK69" s="16"/>
      <c r="ABL69" s="16"/>
      <c r="ABM69" s="16"/>
      <c r="ABN69" s="16"/>
      <c r="ABO69" s="16"/>
      <c r="ABP69" s="16"/>
      <c r="ABQ69" s="16"/>
      <c r="ABR69" s="16"/>
      <c r="ABS69" s="16"/>
      <c r="ABT69" s="16"/>
      <c r="ABU69" s="16"/>
      <c r="ABV69" s="16"/>
      <c r="ABW69" s="16"/>
      <c r="ABX69" s="16"/>
      <c r="ABY69" s="16"/>
      <c r="ABZ69" s="16"/>
      <c r="ACA69" s="16"/>
      <c r="ACB69" s="16"/>
      <c r="ACC69" s="16"/>
      <c r="ACD69" s="16"/>
      <c r="ACE69" s="16"/>
      <c r="ACF69" s="16"/>
      <c r="ACG69" s="16"/>
      <c r="ACH69" s="16"/>
      <c r="ACI69" s="16"/>
      <c r="ACJ69" s="16"/>
      <c r="ACK69" s="16"/>
      <c r="ACL69" s="16"/>
      <c r="ACM69" s="16"/>
      <c r="ACN69" s="16"/>
      <c r="ACO69" s="16"/>
      <c r="ACP69" s="16"/>
      <c r="ACQ69" s="16"/>
      <c r="ACR69" s="16"/>
      <c r="ACS69" s="16"/>
      <c r="ACT69" s="16"/>
      <c r="ACU69" s="16"/>
      <c r="ACV69" s="16"/>
      <c r="ACW69" s="16"/>
      <c r="ACX69" s="16"/>
      <c r="ACY69" s="16"/>
      <c r="ACZ69" s="16"/>
      <c r="ADA69" s="16"/>
      <c r="ADB69" s="16"/>
      <c r="ADC69" s="16"/>
      <c r="ADD69" s="16"/>
      <c r="ADE69" s="16"/>
      <c r="ADF69" s="16"/>
      <c r="ADG69" s="16"/>
      <c r="ADH69" s="16"/>
      <c r="ADI69" s="16"/>
      <c r="ADJ69" s="16"/>
      <c r="ADK69" s="16"/>
      <c r="ADL69" s="16"/>
      <c r="ADM69" s="16"/>
      <c r="ADN69" s="16"/>
      <c r="ADO69" s="16"/>
      <c r="ADP69" s="16"/>
      <c r="ADQ69" s="16"/>
      <c r="ADR69" s="16"/>
      <c r="ADS69" s="16"/>
      <c r="ADT69" s="16"/>
      <c r="ADU69" s="16"/>
      <c r="ADV69" s="16"/>
      <c r="ADW69" s="16"/>
      <c r="ADX69" s="16"/>
      <c r="ADY69" s="16"/>
      <c r="ADZ69" s="16"/>
      <c r="AEA69" s="16"/>
      <c r="AEB69" s="16"/>
      <c r="AEC69" s="16"/>
      <c r="AED69" s="16"/>
      <c r="AEE69" s="16"/>
      <c r="AEF69" s="16"/>
      <c r="AEG69" s="16"/>
      <c r="AEH69" s="16"/>
      <c r="AEI69" s="16"/>
      <c r="AEJ69" s="16"/>
      <c r="AEK69" s="16"/>
      <c r="AEL69" s="16"/>
      <c r="AEM69" s="16"/>
      <c r="AEN69" s="16"/>
      <c r="AEO69" s="16"/>
      <c r="AEP69" s="16"/>
      <c r="AEQ69" s="16"/>
      <c r="AER69" s="16"/>
      <c r="AES69" s="16"/>
      <c r="AET69" s="16"/>
      <c r="AEU69" s="16"/>
      <c r="AEV69" s="16"/>
      <c r="AEW69" s="16"/>
      <c r="AEX69" s="16"/>
      <c r="AEY69" s="16"/>
      <c r="AEZ69" s="16"/>
      <c r="AFA69" s="16"/>
      <c r="AFB69" s="16"/>
      <c r="AFC69" s="16"/>
      <c r="AFD69" s="16"/>
      <c r="AFE69" s="16"/>
      <c r="AFF69" s="16"/>
      <c r="AFG69" s="16"/>
      <c r="AFH69" s="16"/>
      <c r="AFI69" s="16"/>
      <c r="AFJ69" s="16"/>
      <c r="AFK69" s="16"/>
      <c r="AFL69" s="16"/>
      <c r="AFM69" s="16"/>
      <c r="AFN69" s="16"/>
      <c r="AFO69" s="16"/>
      <c r="AFP69" s="16"/>
      <c r="AFQ69" s="16"/>
      <c r="AFR69" s="16"/>
      <c r="AFS69" s="16"/>
      <c r="AFT69" s="16"/>
      <c r="AFU69" s="16"/>
      <c r="AFV69" s="16"/>
      <c r="AFW69" s="16"/>
      <c r="AFX69" s="16"/>
      <c r="AFY69" s="16"/>
      <c r="AFZ69" s="16"/>
      <c r="AGA69" s="16"/>
      <c r="AGB69" s="16"/>
      <c r="AGC69" s="16"/>
      <c r="AGD69" s="16"/>
      <c r="AGE69" s="16"/>
      <c r="AGF69" s="16"/>
      <c r="AGG69" s="16"/>
      <c r="AGH69" s="16"/>
      <c r="AGI69" s="16"/>
      <c r="AGJ69" s="16"/>
      <c r="AGK69" s="16"/>
      <c r="AGL69" s="16"/>
      <c r="AGM69" s="16"/>
      <c r="AGN69" s="16"/>
      <c r="AGO69" s="16"/>
      <c r="AGP69" s="16"/>
      <c r="AGQ69" s="16"/>
      <c r="AGR69" s="16"/>
      <c r="AGS69" s="16"/>
      <c r="AGT69" s="16"/>
      <c r="AGU69" s="16"/>
      <c r="AGV69" s="16"/>
      <c r="AGW69" s="16"/>
      <c r="AGX69" s="16"/>
      <c r="AGY69" s="16"/>
      <c r="AGZ69" s="16"/>
      <c r="AHA69" s="16"/>
      <c r="AHB69" s="16"/>
      <c r="AHC69" s="16"/>
      <c r="AHD69" s="16"/>
      <c r="AHE69" s="16"/>
      <c r="AHF69" s="16"/>
      <c r="AHG69" s="16"/>
      <c r="AHH69" s="16"/>
      <c r="AHI69" s="16"/>
      <c r="AHJ69" s="16"/>
      <c r="AHK69" s="16"/>
      <c r="AHL69" s="16"/>
      <c r="AHM69" s="16"/>
      <c r="AHN69" s="16"/>
      <c r="AHO69" s="16"/>
      <c r="AHP69" s="16"/>
      <c r="AHQ69" s="16"/>
      <c r="AHR69" s="16"/>
      <c r="AHS69" s="16"/>
      <c r="AHT69" s="16"/>
      <c r="AHU69" s="16"/>
      <c r="AHV69" s="16"/>
      <c r="AHW69" s="16"/>
      <c r="AHX69" s="16"/>
      <c r="AHY69" s="16"/>
      <c r="AHZ69" s="16"/>
      <c r="AIA69" s="16"/>
      <c r="AIB69" s="16"/>
      <c r="AIC69" s="16"/>
      <c r="AID69" s="16"/>
      <c r="AIE69" s="16"/>
      <c r="AIF69" s="16"/>
      <c r="AIG69" s="16"/>
      <c r="AIH69" s="16"/>
      <c r="AII69" s="16"/>
      <c r="AIJ69" s="16"/>
      <c r="AIK69" s="16"/>
      <c r="AIL69" s="16"/>
      <c r="AIM69" s="16"/>
      <c r="AIN69" s="16"/>
      <c r="AIO69" s="16"/>
      <c r="AIP69" s="16"/>
      <c r="AIQ69" s="16"/>
      <c r="AIR69" s="16"/>
      <c r="AIS69" s="16"/>
      <c r="AIT69" s="16"/>
      <c r="AIU69" s="16"/>
      <c r="AIV69" s="16"/>
      <c r="AIW69" s="16"/>
      <c r="AIX69" s="16"/>
      <c r="AIY69" s="16"/>
      <c r="AIZ69" s="16"/>
      <c r="AJA69" s="16"/>
      <c r="AJB69" s="16"/>
      <c r="AJC69" s="16"/>
      <c r="AJD69" s="16"/>
      <c r="AJE69" s="16"/>
      <c r="AJF69" s="16"/>
      <c r="AJG69" s="16"/>
      <c r="AJH69" s="16"/>
      <c r="AJI69" s="16"/>
      <c r="AJJ69" s="16"/>
      <c r="AJK69" s="16"/>
      <c r="AJL69" s="16"/>
      <c r="AJM69" s="16"/>
      <c r="AJN69" s="16"/>
      <c r="AJO69" s="16"/>
      <c r="AJP69" s="16"/>
      <c r="AJQ69" s="16"/>
      <c r="AJR69" s="16"/>
      <c r="AJS69" s="16"/>
      <c r="AJT69" s="16"/>
      <c r="AJU69" s="16"/>
      <c r="AJV69" s="16"/>
      <c r="AJW69" s="16"/>
      <c r="AJX69" s="16"/>
      <c r="AJY69" s="16"/>
      <c r="AJZ69" s="16"/>
      <c r="AKA69" s="16"/>
      <c r="AKB69" s="16"/>
      <c r="AKC69" s="16"/>
      <c r="AKD69" s="16"/>
      <c r="AKE69" s="16"/>
      <c r="AKF69" s="16"/>
      <c r="AKG69" s="16"/>
      <c r="AKH69" s="16"/>
      <c r="AKI69" s="16"/>
      <c r="AKJ69" s="16"/>
      <c r="AKK69" s="16"/>
      <c r="AKL69" s="16"/>
      <c r="AKM69" s="16"/>
      <c r="AKN69" s="16"/>
      <c r="AKO69" s="16"/>
      <c r="AKP69" s="16"/>
      <c r="AKQ69" s="16"/>
      <c r="AKR69" s="16"/>
      <c r="AKS69" s="16"/>
      <c r="AKT69" s="16"/>
      <c r="AKU69" s="16"/>
      <c r="AKV69" s="16"/>
      <c r="AKW69" s="16"/>
      <c r="AKX69" s="16"/>
      <c r="AKY69" s="16"/>
      <c r="AKZ69" s="16"/>
      <c r="ALA69" s="16"/>
      <c r="ALB69" s="16"/>
      <c r="ALC69" s="16"/>
      <c r="ALD69" s="16"/>
      <c r="ALE69" s="16"/>
      <c r="ALF69" s="16"/>
      <c r="ALG69" s="16"/>
      <c r="ALH69" s="16"/>
      <c r="ALI69" s="16"/>
      <c r="ALJ69" s="16"/>
      <c r="ALK69" s="16"/>
      <c r="ALL69" s="16"/>
      <c r="ALM69" s="16"/>
      <c r="ALN69" s="16"/>
      <c r="ALO69" s="16"/>
      <c r="ALP69" s="16"/>
      <c r="ALQ69" s="16"/>
      <c r="ALR69" s="16"/>
    </row>
    <row r="70" spans="1:1006" x14ac:dyDescent="0.35">
      <c r="B70" s="7" t="s">
        <v>0</v>
      </c>
      <c r="D70" s="10">
        <f>D10</f>
        <v>100</v>
      </c>
      <c r="E70" s="10">
        <f>E10</f>
        <v>101</v>
      </c>
      <c r="F70" s="10">
        <f>F10</f>
        <v>102.01</v>
      </c>
      <c r="G70" s="10">
        <f>G10</f>
        <v>103.0301</v>
      </c>
      <c r="H70" s="10">
        <f>H10</f>
        <v>104.060401</v>
      </c>
      <c r="I70" s="10">
        <f>I10</f>
        <v>105.10100500999999</v>
      </c>
      <c r="J70" s="10">
        <f>J10</f>
        <v>106.1520150601</v>
      </c>
      <c r="K70" s="10">
        <f>K10</f>
        <v>107.213535210701</v>
      </c>
      <c r="L70" s="10">
        <f>L10</f>
        <v>108.28567056280801</v>
      </c>
      <c r="M70" s="10">
        <f>M10</f>
        <v>109.36852726843608</v>
      </c>
      <c r="N70" s="10">
        <f>N10</f>
        <v>110.46221254112045</v>
      </c>
      <c r="O70" s="10">
        <f>O10</f>
        <v>111.56683466653166</v>
      </c>
      <c r="P70" s="10">
        <f>P10</f>
        <v>112.68250301319698</v>
      </c>
      <c r="Q70" s="10">
        <f>Q10</f>
        <v>113.80932804332895</v>
      </c>
      <c r="R70" s="10">
        <f>R10</f>
        <v>114.94742132376224</v>
      </c>
    </row>
    <row r="71" spans="1:1006" x14ac:dyDescent="0.35">
      <c r="B71" s="7" t="s">
        <v>26</v>
      </c>
      <c r="D71" s="10">
        <f>D31+D45</f>
        <v>76.92307692307692</v>
      </c>
      <c r="E71" s="10">
        <f>E31+E45</f>
        <v>77.692307692307693</v>
      </c>
      <c r="F71" s="10">
        <f>F31+F45</f>
        <v>78.469230769230776</v>
      </c>
      <c r="G71" s="10">
        <f>G31+G45</f>
        <v>79.253923076923073</v>
      </c>
      <c r="H71" s="10">
        <f>H31+H45</f>
        <v>80.046462307692309</v>
      </c>
      <c r="I71" s="10">
        <f>I31+I45</f>
        <v>80.846926930769229</v>
      </c>
      <c r="J71" s="10">
        <f>J31+J45</f>
        <v>81.655396200076922</v>
      </c>
      <c r="K71" s="10">
        <f>K31+K45</f>
        <v>82.47195016207769</v>
      </c>
      <c r="L71" s="10">
        <f>L31+L45</f>
        <v>83.296669663698466</v>
      </c>
      <c r="M71" s="10">
        <f>M31+M45</f>
        <v>84.129636360335439</v>
      </c>
      <c r="N71" s="10">
        <f t="shared" ref="E71:R71" si="20">N29+N45</f>
        <v>84.970932723938802</v>
      </c>
      <c r="O71" s="10">
        <f t="shared" si="20"/>
        <v>85.820642051178197</v>
      </c>
      <c r="P71" s="10">
        <f t="shared" si="20"/>
        <v>86.678848471689975</v>
      </c>
      <c r="Q71" s="10">
        <f t="shared" si="20"/>
        <v>87.545636956406881</v>
      </c>
      <c r="R71" s="10">
        <f t="shared" si="20"/>
        <v>88.421093325970958</v>
      </c>
    </row>
    <row r="72" spans="1:1006" x14ac:dyDescent="0.35">
      <c r="B72" s="7" t="s">
        <v>54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006" x14ac:dyDescent="0.35">
      <c r="B73" s="7" t="s">
        <v>26</v>
      </c>
      <c r="D73" s="10">
        <f>D71+D72</f>
        <v>76.92307692307692</v>
      </c>
      <c r="E73" s="10">
        <f t="shared" ref="E73:R73" si="21">E71+E72</f>
        <v>77.692307692307693</v>
      </c>
      <c r="F73" s="10">
        <f t="shared" si="21"/>
        <v>78.469230769230776</v>
      </c>
      <c r="G73" s="10">
        <f t="shared" si="21"/>
        <v>79.253923076923073</v>
      </c>
      <c r="H73" s="10">
        <f t="shared" si="21"/>
        <v>80.046462307692309</v>
      </c>
      <c r="I73" s="10">
        <f t="shared" si="21"/>
        <v>80.846926930769229</v>
      </c>
      <c r="J73" s="10">
        <f t="shared" si="21"/>
        <v>81.655396200076922</v>
      </c>
      <c r="K73" s="10">
        <f t="shared" si="21"/>
        <v>82.47195016207769</v>
      </c>
      <c r="L73" s="10">
        <f t="shared" si="21"/>
        <v>83.296669663698466</v>
      </c>
      <c r="M73" s="10">
        <f t="shared" si="21"/>
        <v>84.129636360335439</v>
      </c>
      <c r="N73" s="10">
        <f t="shared" si="21"/>
        <v>84.970932723938802</v>
      </c>
      <c r="O73" s="10">
        <f t="shared" si="21"/>
        <v>85.820642051178197</v>
      </c>
      <c r="P73" s="10">
        <f t="shared" si="21"/>
        <v>86.678848471689975</v>
      </c>
      <c r="Q73" s="10">
        <f t="shared" si="21"/>
        <v>87.545636956406881</v>
      </c>
      <c r="R73" s="10">
        <f t="shared" si="21"/>
        <v>88.421093325970958</v>
      </c>
    </row>
    <row r="74" spans="1:1006" x14ac:dyDescent="0.35">
      <c r="B74" s="7" t="s">
        <v>55</v>
      </c>
      <c r="D74" s="10">
        <f>D70/D73</f>
        <v>1.3</v>
      </c>
      <c r="E74" s="10">
        <f t="shared" ref="E74:R74" si="22">E70/E73</f>
        <v>1.3</v>
      </c>
      <c r="F74" s="10">
        <f t="shared" si="22"/>
        <v>1.3</v>
      </c>
      <c r="G74" s="10">
        <f t="shared" si="22"/>
        <v>1.3</v>
      </c>
      <c r="H74" s="10">
        <f t="shared" si="22"/>
        <v>1.3</v>
      </c>
      <c r="I74" s="10">
        <f t="shared" si="22"/>
        <v>1.3</v>
      </c>
      <c r="J74" s="10">
        <f t="shared" si="22"/>
        <v>1.3</v>
      </c>
      <c r="K74" s="10">
        <f t="shared" si="22"/>
        <v>1.3</v>
      </c>
      <c r="L74" s="10">
        <f t="shared" si="22"/>
        <v>1.3</v>
      </c>
      <c r="M74" s="10">
        <f t="shared" si="22"/>
        <v>1.3</v>
      </c>
      <c r="N74" s="10">
        <f t="shared" si="22"/>
        <v>1.3</v>
      </c>
      <c r="O74" s="10">
        <f t="shared" si="22"/>
        <v>1.3</v>
      </c>
      <c r="P74" s="10">
        <f t="shared" si="22"/>
        <v>1.3</v>
      </c>
      <c r="Q74" s="10">
        <f t="shared" si="22"/>
        <v>1.3</v>
      </c>
      <c r="R74" s="10">
        <f t="shared" si="22"/>
        <v>1.3</v>
      </c>
    </row>
  </sheetData>
  <conditionalFormatting sqref="D26:XFD26 A26 A1:XFD25 A28:XFD28 A29:C30 N29:XFD30 A31:XFD33 A27:C27 F27:XFD27 A38:XFD45 A37:M37 P37:XFD37 A35:XFD36 A34:M34 R34:XFD34 F46:XFD48 A46:C48 A49:XFD1048576">
    <cfRule type="expression" dxfId="21" priority="21">
      <formula>AND(A1&lt;&gt;"",A1=FALSE)</formula>
    </cfRule>
    <cfRule type="expression" dxfId="20" priority="22">
      <formula>A1=TRUE</formula>
    </cfRule>
  </conditionalFormatting>
  <conditionalFormatting sqref="D29:E30">
    <cfRule type="expression" dxfId="19" priority="19">
      <formula>AND(D29&lt;&gt;"",D29=FALSE)</formula>
    </cfRule>
    <cfRule type="expression" dxfId="18" priority="20">
      <formula>D29=TRUE</formula>
    </cfRule>
  </conditionalFormatting>
  <conditionalFormatting sqref="D27:E27">
    <cfRule type="expression" dxfId="17" priority="17">
      <formula>AND(D27&lt;&gt;"",D27=FALSE)</formula>
    </cfRule>
    <cfRule type="expression" dxfId="16" priority="18">
      <formula>D27=TRUE</formula>
    </cfRule>
  </conditionalFormatting>
  <conditionalFormatting sqref="O37">
    <cfRule type="expression" dxfId="15" priority="15">
      <formula>AND(O37&lt;&gt;"",O37=FALSE)</formula>
    </cfRule>
    <cfRule type="expression" dxfId="14" priority="16">
      <formula>O37=TRUE</formula>
    </cfRule>
  </conditionalFormatting>
  <conditionalFormatting sqref="N37">
    <cfRule type="expression" dxfId="13" priority="13">
      <formula>AND(N37&lt;&gt;"",N37=FALSE)</formula>
    </cfRule>
    <cfRule type="expression" dxfId="12" priority="14">
      <formula>N37=TRUE</formula>
    </cfRule>
  </conditionalFormatting>
  <conditionalFormatting sqref="P34:Q34">
    <cfRule type="expression" dxfId="11" priority="11">
      <formula>AND(P34&lt;&gt;"",P34=FALSE)</formula>
    </cfRule>
    <cfRule type="expression" dxfId="10" priority="12">
      <formula>P34=TRUE</formula>
    </cfRule>
  </conditionalFormatting>
  <conditionalFormatting sqref="O34">
    <cfRule type="expression" dxfId="9" priority="9">
      <formula>AND(O34&lt;&gt;"",O34=FALSE)</formula>
    </cfRule>
    <cfRule type="expression" dxfId="8" priority="10">
      <formula>O34=TRUE</formula>
    </cfRule>
  </conditionalFormatting>
  <conditionalFormatting sqref="N34">
    <cfRule type="expression" dxfId="7" priority="7">
      <formula>AND(N34&lt;&gt;"",N34=FALSE)</formula>
    </cfRule>
    <cfRule type="expression" dxfId="6" priority="8">
      <formula>N34=TRUE</formula>
    </cfRule>
  </conditionalFormatting>
  <conditionalFormatting sqref="E46:E48">
    <cfRule type="expression" dxfId="5" priority="5">
      <formula>AND(E46&lt;&gt;"",E46=FALSE)</formula>
    </cfRule>
    <cfRule type="expression" dxfId="4" priority="6">
      <formula>E46=TRUE</formula>
    </cfRule>
  </conditionalFormatting>
  <conditionalFormatting sqref="D46:D48">
    <cfRule type="expression" dxfId="3" priority="3">
      <formula>AND(D46&lt;&gt;"",D46=FALSE)</formula>
    </cfRule>
    <cfRule type="expression" dxfId="2" priority="4">
      <formula>D46=TRUE</formula>
    </cfRule>
  </conditionalFormatting>
  <conditionalFormatting sqref="A1:XFD1048576">
    <cfRule type="expression" dxfId="1" priority="2">
      <formula>A1=TRUE</formula>
    </cfRule>
    <cfRule type="expression" dxfId="0" priority="1">
      <formula>AND(A1&lt;&gt;"",A1=FALSE)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cro1">
                <anchor moveWithCells="1" sizeWithCells="1">
                  <from>
                    <xdr:col>5</xdr:col>
                    <xdr:colOff>546100</xdr:colOff>
                    <xdr:row>64</xdr:row>
                    <xdr:rowOff>165100</xdr:rowOff>
                  </from>
                  <to>
                    <xdr:col>7</xdr:col>
                    <xdr:colOff>114300</xdr:colOff>
                    <xdr:row>66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Macro1">
                <anchor moveWithCells="1" sizeWithCells="1">
                  <from>
                    <xdr:col>4</xdr:col>
                    <xdr:colOff>165100</xdr:colOff>
                    <xdr:row>6</xdr:row>
                    <xdr:rowOff>6350</xdr:rowOff>
                  </from>
                  <to>
                    <xdr:col>5</xdr:col>
                    <xdr:colOff>342900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A0B8-8ADF-4C93-8B26-5BC0B872D7C1}">
  <sheetPr codeName="Sheet4"/>
  <dimension ref="A1:U59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15" sqref="B15"/>
    </sheetView>
  </sheetViews>
  <sheetFormatPr defaultRowHeight="14.5" x14ac:dyDescent="0.35"/>
  <cols>
    <col min="1" max="1" width="1.54296875" customWidth="1"/>
    <col min="2" max="2" width="25.36328125" customWidth="1"/>
  </cols>
  <sheetData>
    <row r="1" spans="1:21" x14ac:dyDescent="0.35">
      <c r="A1" t="s">
        <v>45</v>
      </c>
      <c r="O1" t="s">
        <v>77</v>
      </c>
      <c r="U1" t="s">
        <v>80</v>
      </c>
    </row>
    <row r="2" spans="1:21" x14ac:dyDescent="0.35">
      <c r="B2" t="s">
        <v>17</v>
      </c>
      <c r="C2">
        <v>800</v>
      </c>
      <c r="O2" t="s">
        <v>78</v>
      </c>
      <c r="U2" t="s">
        <v>79</v>
      </c>
    </row>
    <row r="3" spans="1:21" x14ac:dyDescent="0.35">
      <c r="D3" s="5" t="s">
        <v>47</v>
      </c>
      <c r="E3" s="5" t="s">
        <v>48</v>
      </c>
      <c r="F3" s="5" t="s">
        <v>49</v>
      </c>
      <c r="G3" s="5" t="s">
        <v>67</v>
      </c>
      <c r="H3" s="5" t="s">
        <v>10</v>
      </c>
      <c r="J3" t="s">
        <v>75</v>
      </c>
      <c r="K3" t="s">
        <v>76</v>
      </c>
      <c r="U3" t="s">
        <v>81</v>
      </c>
    </row>
    <row r="4" spans="1:21" x14ac:dyDescent="0.35">
      <c r="B4" t="s">
        <v>85</v>
      </c>
      <c r="C4" s="3">
        <v>0.55000000000000004</v>
      </c>
      <c r="D4">
        <v>15</v>
      </c>
      <c r="E4" s="2">
        <v>0.06</v>
      </c>
      <c r="F4" s="2">
        <f>E4+E4*($C$8)/(1-$C$8)</f>
        <v>6.4864864864864868E-2</v>
      </c>
      <c r="G4">
        <v>5</v>
      </c>
      <c r="H4" s="1">
        <f>C30</f>
        <v>323.77576998131457</v>
      </c>
      <c r="J4" s="1">
        <f>C21</f>
        <v>1.3068456753814071</v>
      </c>
      <c r="K4" s="1">
        <f>J4-C12-C13</f>
        <v>-94.92399224834395</v>
      </c>
      <c r="O4" t="s">
        <v>68</v>
      </c>
      <c r="U4" t="s">
        <v>82</v>
      </c>
    </row>
    <row r="5" spans="1:21" x14ac:dyDescent="0.35">
      <c r="B5" t="s">
        <v>84</v>
      </c>
      <c r="C5" s="3">
        <v>0.45</v>
      </c>
      <c r="D5">
        <v>10</v>
      </c>
      <c r="E5" s="2">
        <v>0.04</v>
      </c>
      <c r="F5" s="2">
        <f>E5+E5*($C$8)/(1-$C$8)</f>
        <v>4.3243243243243246E-2</v>
      </c>
      <c r="G5">
        <v>4</v>
      </c>
      <c r="H5" s="1">
        <f>C43</f>
        <v>379.99339209495918</v>
      </c>
      <c r="O5" t="s">
        <v>69</v>
      </c>
      <c r="U5" s="6" t="s">
        <v>70</v>
      </c>
    </row>
    <row r="6" spans="1:21" x14ac:dyDescent="0.35">
      <c r="B6" t="s">
        <v>18</v>
      </c>
      <c r="H6" s="1">
        <f>SUM(H4:H5)</f>
        <v>703.76916207627369</v>
      </c>
      <c r="U6" t="s">
        <v>71</v>
      </c>
    </row>
    <row r="7" spans="1:21" x14ac:dyDescent="0.35">
      <c r="U7" t="s">
        <v>72</v>
      </c>
    </row>
    <row r="8" spans="1:21" x14ac:dyDescent="0.35">
      <c r="B8" t="s">
        <v>46</v>
      </c>
      <c r="C8" s="2">
        <v>7.4999999999999997E-2</v>
      </c>
    </row>
    <row r="9" spans="1:21" x14ac:dyDescent="0.35">
      <c r="D9">
        <v>1</v>
      </c>
      <c r="E9">
        <v>2</v>
      </c>
      <c r="F9">
        <v>3</v>
      </c>
      <c r="G9">
        <v>4</v>
      </c>
      <c r="H9">
        <v>5</v>
      </c>
      <c r="I9">
        <v>6</v>
      </c>
      <c r="J9">
        <v>7</v>
      </c>
      <c r="K9">
        <v>8</v>
      </c>
      <c r="L9">
        <v>9</v>
      </c>
      <c r="M9">
        <v>10</v>
      </c>
      <c r="N9">
        <v>11</v>
      </c>
      <c r="O9">
        <v>12</v>
      </c>
      <c r="P9">
        <v>13</v>
      </c>
      <c r="Q9">
        <v>14</v>
      </c>
      <c r="R9">
        <v>15</v>
      </c>
    </row>
    <row r="10" spans="1:21" x14ac:dyDescent="0.35">
      <c r="B10" t="s">
        <v>0</v>
      </c>
      <c r="D10" s="1">
        <v>100</v>
      </c>
      <c r="E10" s="1">
        <f>D10*1.01</f>
        <v>101</v>
      </c>
      <c r="F10" s="1">
        <f t="shared" ref="F10:R10" si="0">E10*1.01</f>
        <v>102.01</v>
      </c>
      <c r="G10" s="1">
        <f t="shared" si="0"/>
        <v>103.0301</v>
      </c>
      <c r="H10" s="1">
        <f t="shared" si="0"/>
        <v>104.060401</v>
      </c>
      <c r="I10" s="1">
        <f t="shared" si="0"/>
        <v>105.10100500999999</v>
      </c>
      <c r="J10" s="1">
        <f t="shared" si="0"/>
        <v>106.1520150601</v>
      </c>
      <c r="K10" s="1">
        <f t="shared" si="0"/>
        <v>107.213535210701</v>
      </c>
      <c r="L10" s="1">
        <f t="shared" si="0"/>
        <v>108.28567056280801</v>
      </c>
      <c r="M10" s="1">
        <f t="shared" si="0"/>
        <v>109.36852726843608</v>
      </c>
      <c r="N10" s="1">
        <f t="shared" si="0"/>
        <v>110.46221254112045</v>
      </c>
      <c r="O10" s="1">
        <f t="shared" si="0"/>
        <v>111.56683466653166</v>
      </c>
      <c r="P10" s="1">
        <f t="shared" si="0"/>
        <v>112.68250301319698</v>
      </c>
      <c r="Q10" s="1">
        <f t="shared" si="0"/>
        <v>113.80932804332895</v>
      </c>
      <c r="R10" s="1">
        <f t="shared" si="0"/>
        <v>114.94742132376224</v>
      </c>
    </row>
    <row r="11" spans="1:21" x14ac:dyDescent="0.35">
      <c r="B11" t="s">
        <v>67</v>
      </c>
      <c r="D11" s="1">
        <f>$G$4</f>
        <v>5</v>
      </c>
      <c r="E11" s="1">
        <f>D11*1.04</f>
        <v>5.2</v>
      </c>
      <c r="F11" s="1">
        <f t="shared" ref="F11:R11" si="1">E11*1.04</f>
        <v>5.4080000000000004</v>
      </c>
      <c r="G11" s="1">
        <f t="shared" si="1"/>
        <v>5.6243200000000009</v>
      </c>
      <c r="H11" s="1">
        <f t="shared" si="1"/>
        <v>5.8492928000000015</v>
      </c>
      <c r="I11" s="1">
        <f t="shared" si="1"/>
        <v>6.0832645120000022</v>
      </c>
      <c r="J11" s="1">
        <f t="shared" si="1"/>
        <v>6.3265950924800025</v>
      </c>
      <c r="K11" s="1">
        <f t="shared" si="1"/>
        <v>6.5796588961792031</v>
      </c>
      <c r="L11" s="1">
        <f t="shared" si="1"/>
        <v>6.8428452520263718</v>
      </c>
      <c r="M11" s="1">
        <f t="shared" si="1"/>
        <v>7.1165590621074273</v>
      </c>
      <c r="N11" s="1">
        <f t="shared" si="1"/>
        <v>7.4012214245917249</v>
      </c>
      <c r="O11" s="1">
        <f t="shared" si="1"/>
        <v>7.6972702815753946</v>
      </c>
      <c r="P11" s="1">
        <f t="shared" si="1"/>
        <v>8.00516109283841</v>
      </c>
      <c r="Q11" s="1">
        <f t="shared" si="1"/>
        <v>8.3253675365519459</v>
      </c>
      <c r="R11" s="1">
        <f t="shared" si="1"/>
        <v>8.6583822380140241</v>
      </c>
    </row>
    <row r="12" spans="1:21" x14ac:dyDescent="0.35">
      <c r="B12" t="s">
        <v>73</v>
      </c>
      <c r="C12" s="1">
        <f>NPV(F4,D11:R11)</f>
        <v>60.0066079050399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1" x14ac:dyDescent="0.35">
      <c r="B13" t="s">
        <v>74</v>
      </c>
      <c r="C13" s="1">
        <f>NPV(F5,D33:M33)</f>
        <v>36.224230018685454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1" x14ac:dyDescent="0.3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1" x14ac:dyDescent="0.35">
      <c r="A15" t="s">
        <v>50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1" x14ac:dyDescent="0.35">
      <c r="B16" t="s">
        <v>7</v>
      </c>
      <c r="C16" s="2">
        <f>C50</f>
        <v>5.7946836849744443E-2</v>
      </c>
      <c r="D16" s="2">
        <f>C16</f>
        <v>5.7946836849744443E-2</v>
      </c>
      <c r="E16" s="2">
        <f t="shared" ref="E16:R16" si="2">D16</f>
        <v>5.7946836849744443E-2</v>
      </c>
      <c r="F16" s="2">
        <f t="shared" si="2"/>
        <v>5.7946836849744443E-2</v>
      </c>
      <c r="G16" s="2">
        <f t="shared" si="2"/>
        <v>5.7946836849744443E-2</v>
      </c>
      <c r="H16" s="2">
        <f t="shared" si="2"/>
        <v>5.7946836849744443E-2</v>
      </c>
      <c r="I16" s="2">
        <f t="shared" si="2"/>
        <v>5.7946836849744443E-2</v>
      </c>
      <c r="J16" s="2">
        <f t="shared" si="2"/>
        <v>5.7946836849744443E-2</v>
      </c>
      <c r="K16" s="2">
        <f t="shared" si="2"/>
        <v>5.7946836849744443E-2</v>
      </c>
      <c r="L16" s="2">
        <f t="shared" si="2"/>
        <v>5.7946836849744443E-2</v>
      </c>
      <c r="M16" s="2">
        <f t="shared" si="2"/>
        <v>5.7946836849744443E-2</v>
      </c>
      <c r="N16" s="2">
        <f t="shared" si="2"/>
        <v>5.7946836849744443E-2</v>
      </c>
      <c r="O16" s="2">
        <f t="shared" si="2"/>
        <v>5.7946836849744443E-2</v>
      </c>
      <c r="P16" s="2">
        <f t="shared" si="2"/>
        <v>5.7946836849744443E-2</v>
      </c>
      <c r="Q16" s="2">
        <f t="shared" si="2"/>
        <v>5.7946836849744443E-2</v>
      </c>
      <c r="R16" s="2">
        <f t="shared" si="2"/>
        <v>5.7946836849744443E-2</v>
      </c>
    </row>
    <row r="17" spans="1:18" x14ac:dyDescent="0.35">
      <c r="B17" t="s">
        <v>21</v>
      </c>
      <c r="C17" s="1">
        <v>1</v>
      </c>
      <c r="D17" s="1">
        <f>C17*(1+D16)</f>
        <v>1.0579468368497444</v>
      </c>
      <c r="E17" s="1">
        <f t="shared" ref="E17:R17" si="3">D17*(1+E16)</f>
        <v>1.1192515096003799</v>
      </c>
      <c r="F17" s="1">
        <f t="shared" si="3"/>
        <v>1.1841085942210232</v>
      </c>
      <c r="G17" s="1">
        <f t="shared" si="3"/>
        <v>1.2527239417427292</v>
      </c>
      <c r="H17" s="1">
        <f t="shared" si="3"/>
        <v>1.3253153316126638</v>
      </c>
      <c r="I17" s="1">
        <f t="shared" si="3"/>
        <v>1.4021131629080879</v>
      </c>
      <c r="J17" s="1">
        <f t="shared" si="3"/>
        <v>1.4833611856040019</v>
      </c>
      <c r="K17" s="1">
        <f t="shared" si="3"/>
        <v>1.5693172742154404</v>
      </c>
      <c r="L17" s="1">
        <f t="shared" si="3"/>
        <v>1.6602542462698882</v>
      </c>
      <c r="M17" s="1">
        <f t="shared" si="3"/>
        <v>1.7564607282075848</v>
      </c>
      <c r="N17" s="1">
        <f t="shared" si="3"/>
        <v>1.858242071458013</v>
      </c>
      <c r="O17" s="1">
        <f t="shared" si="3"/>
        <v>1.9659213216001217</v>
      </c>
      <c r="P17" s="1">
        <f t="shared" si="3"/>
        <v>2.0798402436823178</v>
      </c>
      <c r="Q17" s="1">
        <f t="shared" si="3"/>
        <v>2.2003604069565097</v>
      </c>
      <c r="R17" s="1">
        <f t="shared" si="3"/>
        <v>2.3278643324690558</v>
      </c>
    </row>
    <row r="18" spans="1:18" x14ac:dyDescent="0.35">
      <c r="B18" t="s">
        <v>3</v>
      </c>
      <c r="C18" s="1">
        <f>NPV(C16,D10:R10)</f>
        <v>1045.4765403051256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5">
      <c r="B20" t="s">
        <v>26</v>
      </c>
      <c r="C20">
        <f>C2</f>
        <v>800</v>
      </c>
      <c r="D20" s="1">
        <f>D10/$C$21</f>
        <v>76.520129257660571</v>
      </c>
      <c r="E20" s="1">
        <f t="shared" ref="E20:R20" si="4">E10/$C$21</f>
        <v>77.285330550237177</v>
      </c>
      <c r="F20" s="1">
        <f t="shared" si="4"/>
        <v>78.058183855739557</v>
      </c>
      <c r="G20" s="1">
        <f t="shared" si="4"/>
        <v>78.838765694296953</v>
      </c>
      <c r="H20" s="1">
        <f t="shared" si="4"/>
        <v>79.627153351239912</v>
      </c>
      <c r="I20" s="1">
        <f t="shared" si="4"/>
        <v>80.423424884752308</v>
      </c>
      <c r="J20" s="1">
        <f t="shared" si="4"/>
        <v>81.227659133599843</v>
      </c>
      <c r="K20" s="1">
        <f t="shared" si="4"/>
        <v>82.03993572493583</v>
      </c>
      <c r="L20" s="1">
        <f t="shared" si="4"/>
        <v>82.860335082185202</v>
      </c>
      <c r="M20" s="1">
        <f t="shared" si="4"/>
        <v>83.688938433007038</v>
      </c>
      <c r="N20" s="1">
        <f t="shared" si="4"/>
        <v>84.525827817337117</v>
      </c>
      <c r="O20" s="1">
        <f t="shared" si="4"/>
        <v>85.371086095510492</v>
      </c>
      <c r="P20" s="1">
        <f t="shared" si="4"/>
        <v>86.224796956465596</v>
      </c>
      <c r="Q20" s="1">
        <f t="shared" si="4"/>
        <v>87.087044926030259</v>
      </c>
      <c r="R20" s="1">
        <f t="shared" si="4"/>
        <v>87.957915375290568</v>
      </c>
    </row>
    <row r="21" spans="1:18" x14ac:dyDescent="0.35">
      <c r="B21" t="s">
        <v>27</v>
      </c>
      <c r="C21" s="1">
        <f>C18/C20</f>
        <v>1.3068456753814071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5">
      <c r="A23" t="s">
        <v>83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5">
      <c r="B24" t="s">
        <v>19</v>
      </c>
      <c r="C24" s="1">
        <f>NPV(F5,D24:M24)</f>
        <v>832.15185960464089</v>
      </c>
      <c r="D24" s="1">
        <f t="shared" ref="D24:M24" si="5">D10</f>
        <v>100</v>
      </c>
      <c r="E24" s="1">
        <f t="shared" si="5"/>
        <v>101</v>
      </c>
      <c r="F24" s="1">
        <f t="shared" si="5"/>
        <v>102.01</v>
      </c>
      <c r="G24" s="1">
        <f t="shared" si="5"/>
        <v>103.0301</v>
      </c>
      <c r="H24" s="1">
        <f t="shared" si="5"/>
        <v>104.060401</v>
      </c>
      <c r="I24" s="1">
        <f t="shared" si="5"/>
        <v>105.10100500999999</v>
      </c>
      <c r="J24" s="1">
        <f t="shared" si="5"/>
        <v>106.1520150601</v>
      </c>
      <c r="K24" s="1">
        <f t="shared" si="5"/>
        <v>107.213535210701</v>
      </c>
      <c r="L24" s="1">
        <f t="shared" si="5"/>
        <v>108.28567056280801</v>
      </c>
      <c r="M24" s="1">
        <f t="shared" si="5"/>
        <v>109.36852726843608</v>
      </c>
      <c r="N24" s="1"/>
      <c r="O24" s="1"/>
      <c r="P24" s="1"/>
      <c r="Q24" s="1"/>
      <c r="R24" s="1"/>
    </row>
    <row r="25" spans="1:18" x14ac:dyDescent="0.35">
      <c r="B25" t="s">
        <v>37</v>
      </c>
      <c r="C25" s="1">
        <f>C2*C5</f>
        <v>360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5">
      <c r="B26" t="s">
        <v>20</v>
      </c>
      <c r="C26" s="1">
        <f>C24/C25</f>
        <v>2.3115329433462248</v>
      </c>
      <c r="D26" s="1">
        <f>D24/$C$26</f>
        <v>43.261334556295722</v>
      </c>
      <c r="E26" s="1">
        <f t="shared" ref="E26:M26" si="6">E24/$C$26</f>
        <v>43.693947901858678</v>
      </c>
      <c r="F26" s="1">
        <f t="shared" si="6"/>
        <v>44.130887380877269</v>
      </c>
      <c r="G26" s="1">
        <f t="shared" si="6"/>
        <v>44.572196254686041</v>
      </c>
      <c r="H26" s="1">
        <f t="shared" si="6"/>
        <v>45.017918217232896</v>
      </c>
      <c r="I26" s="1">
        <f t="shared" si="6"/>
        <v>45.468097399405224</v>
      </c>
      <c r="J26" s="1">
        <f t="shared" si="6"/>
        <v>45.922778373399282</v>
      </c>
      <c r="K26" s="1">
        <f t="shared" si="6"/>
        <v>46.382006157133276</v>
      </c>
      <c r="L26" s="1">
        <f t="shared" si="6"/>
        <v>46.845826218704609</v>
      </c>
      <c r="M26" s="1">
        <f t="shared" si="6"/>
        <v>47.314284480891651</v>
      </c>
      <c r="N26" s="1"/>
      <c r="O26" s="1"/>
      <c r="P26" s="1"/>
      <c r="Q26" s="1"/>
      <c r="R26" s="1"/>
    </row>
    <row r="27" spans="1:18" x14ac:dyDescent="0.3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5">
      <c r="B28" t="s">
        <v>11</v>
      </c>
      <c r="C28" s="1"/>
      <c r="D28" s="1">
        <f>C30</f>
        <v>323.77576998131457</v>
      </c>
      <c r="E28" s="1">
        <f t="shared" ref="E28:M28" si="7">D30</f>
        <v>298.51554980258919</v>
      </c>
      <c r="F28" s="1">
        <f t="shared" si="7"/>
        <v>271.85038243273436</v>
      </c>
      <c r="G28" s="1">
        <f t="shared" si="7"/>
        <v>243.71878726516454</v>
      </c>
      <c r="H28" s="1">
        <f t="shared" si="7"/>
        <v>214.05668981113425</v>
      </c>
      <c r="I28" s="1">
        <f t="shared" si="7"/>
        <v>182.7973123392477</v>
      </c>
      <c r="J28" s="1">
        <f t="shared" si="7"/>
        <v>149.87105987873969</v>
      </c>
      <c r="K28" s="1">
        <f t="shared" si="7"/>
        <v>115.20540138891542</v>
      </c>
      <c r="L28" s="1">
        <f t="shared" si="7"/>
        <v>78.724745888677973</v>
      </c>
      <c r="M28" s="1">
        <f t="shared" si="7"/>
        <v>40.35031333125044</v>
      </c>
      <c r="N28" s="1"/>
      <c r="O28" s="1"/>
      <c r="P28" s="1"/>
      <c r="Q28" s="1"/>
      <c r="R28" s="1"/>
    </row>
    <row r="29" spans="1:18" x14ac:dyDescent="0.35">
      <c r="B29" t="s">
        <v>24</v>
      </c>
      <c r="C29" s="1"/>
      <c r="D29" s="1">
        <f>D26-D31-D32-D33</f>
        <v>25.260220178725358</v>
      </c>
      <c r="E29" s="1">
        <f t="shared" ref="E29:M29" si="8">E26-E31-E32-E33</f>
        <v>26.665167369854821</v>
      </c>
      <c r="F29" s="1">
        <f t="shared" si="8"/>
        <v>28.131595167569834</v>
      </c>
      <c r="G29" s="1">
        <f t="shared" si="8"/>
        <v>29.662097454030281</v>
      </c>
      <c r="H29" s="1">
        <f t="shared" si="8"/>
        <v>31.259377471886548</v>
      </c>
      <c r="I29" s="1">
        <f t="shared" si="8"/>
        <v>32.926252460508024</v>
      </c>
      <c r="J29" s="1">
        <f t="shared" si="8"/>
        <v>34.665658489824267</v>
      </c>
      <c r="K29" s="1">
        <f t="shared" si="8"/>
        <v>36.480655500237447</v>
      </c>
      <c r="L29" s="1">
        <f t="shared" si="8"/>
        <v>38.374432557427532</v>
      </c>
      <c r="M29" s="1">
        <f t="shared" si="8"/>
        <v>40.350313331250327</v>
      </c>
      <c r="N29" s="1"/>
      <c r="O29" s="1"/>
      <c r="P29" s="1"/>
      <c r="Q29" s="1"/>
      <c r="R29" s="1"/>
    </row>
    <row r="30" spans="1:18" x14ac:dyDescent="0.35">
      <c r="B30" t="s">
        <v>13</v>
      </c>
      <c r="C30" s="1">
        <f>C25-C13</f>
        <v>323.77576998131457</v>
      </c>
      <c r="D30" s="1">
        <f>D28-D29</f>
        <v>298.51554980258919</v>
      </c>
      <c r="E30" s="1">
        <f t="shared" ref="E30:M30" si="9">E28-E29</f>
        <v>271.85038243273436</v>
      </c>
      <c r="F30" s="1">
        <f t="shared" si="9"/>
        <v>243.71878726516454</v>
      </c>
      <c r="G30" s="1">
        <f t="shared" si="9"/>
        <v>214.05668981113425</v>
      </c>
      <c r="H30" s="1">
        <f t="shared" si="9"/>
        <v>182.7973123392477</v>
      </c>
      <c r="I30" s="1">
        <f t="shared" si="9"/>
        <v>149.87105987873969</v>
      </c>
      <c r="J30" s="1">
        <f t="shared" si="9"/>
        <v>115.20540138891542</v>
      </c>
      <c r="K30" s="1">
        <f t="shared" si="9"/>
        <v>78.724745888677973</v>
      </c>
      <c r="L30" s="1">
        <f t="shared" si="9"/>
        <v>40.35031333125044</v>
      </c>
      <c r="M30" s="1">
        <f t="shared" si="9"/>
        <v>1.1368683772161603E-13</v>
      </c>
      <c r="N30" s="1"/>
      <c r="O30" s="1"/>
      <c r="P30" s="1"/>
      <c r="Q30" s="1"/>
      <c r="R30" s="1"/>
    </row>
    <row r="31" spans="1:18" x14ac:dyDescent="0.35">
      <c r="B31" t="s">
        <v>14</v>
      </c>
      <c r="C31" s="1"/>
      <c r="D31" s="1">
        <f>D28*$E$5</f>
        <v>12.951030799252583</v>
      </c>
      <c r="E31" s="1">
        <f t="shared" ref="E31:M31" si="10">E28*$E$5</f>
        <v>11.940621992103567</v>
      </c>
      <c r="F31" s="1">
        <f t="shared" si="10"/>
        <v>10.874015297309375</v>
      </c>
      <c r="G31" s="1">
        <f t="shared" si="10"/>
        <v>9.7487514906065815</v>
      </c>
      <c r="H31" s="1">
        <f t="shared" si="10"/>
        <v>8.5622675924453695</v>
      </c>
      <c r="I31" s="1">
        <f t="shared" si="10"/>
        <v>7.3118924935699079</v>
      </c>
      <c r="J31" s="1">
        <f t="shared" si="10"/>
        <v>5.9948423951495879</v>
      </c>
      <c r="K31" s="1">
        <f t="shared" si="10"/>
        <v>4.6082160555566167</v>
      </c>
      <c r="L31" s="1">
        <f t="shared" si="10"/>
        <v>3.1489898355471189</v>
      </c>
      <c r="M31" s="1">
        <f t="shared" si="10"/>
        <v>1.6140125332500177</v>
      </c>
      <c r="N31" s="1"/>
      <c r="O31" s="1"/>
      <c r="P31" s="1"/>
      <c r="Q31" s="1"/>
      <c r="R31" s="1"/>
    </row>
    <row r="32" spans="1:18" x14ac:dyDescent="0.35">
      <c r="B32" t="s">
        <v>51</v>
      </c>
      <c r="C32" s="1"/>
      <c r="D32" s="1">
        <f>D31*$C$8/(1-$C$8)</f>
        <v>1.0500835783177769</v>
      </c>
      <c r="E32" s="1">
        <f t="shared" ref="E32:M32" si="11">E31*$C$8/(1-$C$8)</f>
        <v>0.96815853990028911</v>
      </c>
      <c r="F32" s="1">
        <f t="shared" si="11"/>
        <v>0.88167691599805742</v>
      </c>
      <c r="G32" s="1">
        <f t="shared" si="11"/>
        <v>0.79043931004918222</v>
      </c>
      <c r="H32" s="1">
        <f t="shared" si="11"/>
        <v>0.69423791290097592</v>
      </c>
      <c r="I32" s="1">
        <f t="shared" si="11"/>
        <v>0.59285614812728971</v>
      </c>
      <c r="J32" s="1">
        <f t="shared" si="11"/>
        <v>0.48606830230942605</v>
      </c>
      <c r="K32" s="1">
        <f t="shared" si="11"/>
        <v>0.37363913963972567</v>
      </c>
      <c r="L32" s="1">
        <f t="shared" si="11"/>
        <v>0.25532350017949612</v>
      </c>
      <c r="M32" s="1">
        <f t="shared" si="11"/>
        <v>0.13086588107432576</v>
      </c>
      <c r="N32" s="1"/>
      <c r="O32" s="1"/>
      <c r="P32" s="1"/>
      <c r="Q32" s="1"/>
      <c r="R32" s="1"/>
    </row>
    <row r="33" spans="1:18" x14ac:dyDescent="0.35">
      <c r="B33" t="s">
        <v>67</v>
      </c>
      <c r="C33" s="1"/>
      <c r="D33" s="1">
        <f>G5</f>
        <v>4</v>
      </c>
      <c r="E33" s="1">
        <f>D33*1.03</f>
        <v>4.12</v>
      </c>
      <c r="F33" s="1">
        <f t="shared" ref="F33:M33" si="12">E33*1.03</f>
        <v>4.2435999999999998</v>
      </c>
      <c r="G33" s="1">
        <f t="shared" si="12"/>
        <v>4.370908</v>
      </c>
      <c r="H33" s="1">
        <f t="shared" si="12"/>
        <v>4.5020352400000005</v>
      </c>
      <c r="I33" s="1">
        <f t="shared" si="12"/>
        <v>4.6370962972000003</v>
      </c>
      <c r="J33" s="1">
        <f t="shared" si="12"/>
        <v>4.7762091861160005</v>
      </c>
      <c r="K33" s="1">
        <f t="shared" si="12"/>
        <v>4.9194954616994808</v>
      </c>
      <c r="L33" s="1">
        <f t="shared" si="12"/>
        <v>5.0670803255504655</v>
      </c>
      <c r="M33" s="1">
        <f t="shared" si="12"/>
        <v>5.2190927353169796</v>
      </c>
      <c r="N33" s="1"/>
      <c r="O33" s="1"/>
      <c r="P33" s="1"/>
      <c r="Q33" s="1"/>
      <c r="R33" s="1"/>
    </row>
    <row r="34" spans="1:18" x14ac:dyDescent="0.35">
      <c r="B34" t="s">
        <v>52</v>
      </c>
      <c r="C34" s="1"/>
      <c r="D34" s="2">
        <f t="shared" ref="D34:M34" si="13">D32/(D32+D31)</f>
        <v>7.4999999999999997E-2</v>
      </c>
      <c r="E34" s="2">
        <f t="shared" si="13"/>
        <v>7.4999999999999997E-2</v>
      </c>
      <c r="F34" s="2">
        <f t="shared" si="13"/>
        <v>7.4999999999999997E-2</v>
      </c>
      <c r="G34" s="2">
        <f t="shared" si="13"/>
        <v>7.4999999999999997E-2</v>
      </c>
      <c r="H34" s="2">
        <f t="shared" si="13"/>
        <v>7.5000000000000011E-2</v>
      </c>
      <c r="I34" s="2">
        <f t="shared" si="13"/>
        <v>7.4999999999999983E-2</v>
      </c>
      <c r="J34" s="2">
        <f t="shared" si="13"/>
        <v>7.4999999999999997E-2</v>
      </c>
      <c r="K34" s="2">
        <f t="shared" si="13"/>
        <v>7.4999999999999997E-2</v>
      </c>
      <c r="L34" s="2">
        <f t="shared" si="13"/>
        <v>7.4999999999999997E-2</v>
      </c>
      <c r="M34" s="2">
        <f t="shared" si="13"/>
        <v>7.4999999999999997E-2</v>
      </c>
      <c r="N34" s="1"/>
      <c r="O34" s="1"/>
      <c r="P34" s="1"/>
      <c r="Q34" s="1"/>
      <c r="R34" s="1"/>
    </row>
    <row r="35" spans="1:18" x14ac:dyDescent="0.3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35">
      <c r="A36" t="s">
        <v>44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35">
      <c r="B37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35">
      <c r="B38" t="s">
        <v>22</v>
      </c>
      <c r="D38" s="1">
        <f t="shared" ref="D38:R38" si="14">D20-D26</f>
        <v>33.258794701364849</v>
      </c>
      <c r="E38" s="1">
        <f t="shared" si="14"/>
        <v>33.591382648378499</v>
      </c>
      <c r="F38" s="1">
        <f t="shared" si="14"/>
        <v>33.927296474862288</v>
      </c>
      <c r="G38" s="1">
        <f t="shared" si="14"/>
        <v>34.266569439610912</v>
      </c>
      <c r="H38" s="1">
        <f t="shared" si="14"/>
        <v>34.609235134007015</v>
      </c>
      <c r="I38" s="1">
        <f t="shared" si="14"/>
        <v>34.955327485347084</v>
      </c>
      <c r="J38" s="1">
        <f t="shared" si="14"/>
        <v>35.304880760200561</v>
      </c>
      <c r="K38" s="1">
        <f t="shared" si="14"/>
        <v>35.657929567802555</v>
      </c>
      <c r="L38" s="1">
        <f t="shared" si="14"/>
        <v>36.014508863480593</v>
      </c>
      <c r="M38" s="1">
        <f t="shared" si="14"/>
        <v>36.374653952115388</v>
      </c>
      <c r="N38" s="1">
        <f t="shared" si="14"/>
        <v>84.525827817337117</v>
      </c>
      <c r="O38" s="1">
        <f t="shared" si="14"/>
        <v>85.371086095510492</v>
      </c>
      <c r="P38" s="1">
        <f t="shared" si="14"/>
        <v>86.224796956465596</v>
      </c>
      <c r="Q38" s="1">
        <f t="shared" si="14"/>
        <v>87.087044926030259</v>
      </c>
      <c r="R38" s="1">
        <f t="shared" si="14"/>
        <v>87.957915375290568</v>
      </c>
    </row>
    <row r="39" spans="1:18" x14ac:dyDescent="0.35">
      <c r="B39" t="s">
        <v>23</v>
      </c>
      <c r="C39" s="1">
        <f>NPV(F4,D38:R38)</f>
        <v>439.99999999999909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35">
      <c r="B41" t="s">
        <v>11</v>
      </c>
      <c r="D41" s="1">
        <f>C43</f>
        <v>379.99339209495918</v>
      </c>
      <c r="E41" s="1">
        <f t="shared" ref="E41:R41" si="15">D43</f>
        <v>376.38281742137548</v>
      </c>
      <c r="F41" s="1">
        <f t="shared" si="15"/>
        <v>372.40545536249158</v>
      </c>
      <c r="G41" s="1">
        <f t="shared" si="15"/>
        <v>368.04218842465576</v>
      </c>
      <c r="H41" s="1">
        <f t="shared" si="15"/>
        <v>363.27294580177926</v>
      </c>
      <c r="I41" s="1">
        <f t="shared" si="15"/>
        <v>358.07665400626604</v>
      </c>
      <c r="J41" s="1">
        <f t="shared" si="15"/>
        <v>352.43118480629835</v>
      </c>
      <c r="K41" s="1">
        <f t="shared" si="15"/>
        <v>346.31330031520253</v>
      </c>
      <c r="L41" s="1">
        <f t="shared" si="15"/>
        <v>339.69859506943016</v>
      </c>
      <c r="M41" s="1">
        <f t="shared" si="15"/>
        <v>332.561434921939</v>
      </c>
      <c r="N41" s="1">
        <f t="shared" si="15"/>
        <v>324.87489256740815</v>
      </c>
      <c r="O41" s="1">
        <f t="shared" si="15"/>
        <v>268.82325217903519</v>
      </c>
      <c r="P41" s="1">
        <f t="shared" si="15"/>
        <v>208.5866202902267</v>
      </c>
      <c r="Q41" s="1">
        <f t="shared" si="15"/>
        <v>143.89692736434395</v>
      </c>
      <c r="R41" s="1">
        <f t="shared" si="15"/>
        <v>74.46910472282309</v>
      </c>
    </row>
    <row r="42" spans="1:18" x14ac:dyDescent="0.35">
      <c r="B42" t="s">
        <v>24</v>
      </c>
      <c r="D42" s="1">
        <f>D38-D44-D45-D46</f>
        <v>3.6105746735837148</v>
      </c>
      <c r="E42" s="1">
        <f t="shared" ref="E42:R42" si="16">E38-E44-E45-E46</f>
        <v>3.9773620588838741</v>
      </c>
      <c r="F42" s="1">
        <f t="shared" si="16"/>
        <v>4.3632669378358093</v>
      </c>
      <c r="G42" s="1">
        <f t="shared" si="16"/>
        <v>4.769242622876483</v>
      </c>
      <c r="H42" s="1">
        <f t="shared" si="16"/>
        <v>5.1962917955132246</v>
      </c>
      <c r="I42" s="1">
        <f t="shared" si="16"/>
        <v>5.6454691999676649</v>
      </c>
      <c r="J42" s="1">
        <f t="shared" si="16"/>
        <v>6.1178844910958032</v>
      </c>
      <c r="K42" s="1">
        <f t="shared" si="16"/>
        <v>6.6147052457723765</v>
      </c>
      <c r="L42" s="1">
        <f t="shared" si="16"/>
        <v>7.1371601474911834</v>
      </c>
      <c r="M42" s="1">
        <f t="shared" si="16"/>
        <v>7.6865423545308378</v>
      </c>
      <c r="N42" s="1">
        <f t="shared" si="16"/>
        <v>56.051640388372974</v>
      </c>
      <c r="O42" s="1">
        <f t="shared" si="16"/>
        <v>60.236631888808496</v>
      </c>
      <c r="P42" s="1">
        <f t="shared" si="16"/>
        <v>64.689692925882753</v>
      </c>
      <c r="Q42" s="1">
        <f t="shared" si="16"/>
        <v>69.427822641520862</v>
      </c>
      <c r="R42" s="1">
        <f t="shared" si="16"/>
        <v>74.469104722823161</v>
      </c>
    </row>
    <row r="43" spans="1:18" x14ac:dyDescent="0.35">
      <c r="B43" t="s">
        <v>13</v>
      </c>
      <c r="C43" s="1">
        <f>C39-C12</f>
        <v>379.99339209495918</v>
      </c>
      <c r="D43" s="1">
        <f>D41-D42</f>
        <v>376.38281742137548</v>
      </c>
      <c r="E43" s="1">
        <f t="shared" ref="E43:R43" si="17">E41-E42</f>
        <v>372.40545536249158</v>
      </c>
      <c r="F43" s="1">
        <f t="shared" si="17"/>
        <v>368.04218842465576</v>
      </c>
      <c r="G43" s="1">
        <f t="shared" si="17"/>
        <v>363.27294580177926</v>
      </c>
      <c r="H43" s="1">
        <f t="shared" si="17"/>
        <v>358.07665400626604</v>
      </c>
      <c r="I43" s="1">
        <f t="shared" si="17"/>
        <v>352.43118480629835</v>
      </c>
      <c r="J43" s="1">
        <f t="shared" si="17"/>
        <v>346.31330031520253</v>
      </c>
      <c r="K43" s="1">
        <f t="shared" si="17"/>
        <v>339.69859506943016</v>
      </c>
      <c r="L43" s="1">
        <f t="shared" si="17"/>
        <v>332.561434921939</v>
      </c>
      <c r="M43" s="1">
        <f t="shared" si="17"/>
        <v>324.87489256740815</v>
      </c>
      <c r="N43" s="1">
        <f t="shared" si="17"/>
        <v>268.82325217903519</v>
      </c>
      <c r="O43" s="1">
        <f t="shared" si="17"/>
        <v>208.5866202902267</v>
      </c>
      <c r="P43" s="1">
        <f t="shared" si="17"/>
        <v>143.89692736434395</v>
      </c>
      <c r="Q43" s="1">
        <f t="shared" si="17"/>
        <v>74.46910472282309</v>
      </c>
      <c r="R43" s="1">
        <f t="shared" si="17"/>
        <v>0</v>
      </c>
    </row>
    <row r="44" spans="1:18" x14ac:dyDescent="0.35">
      <c r="B44" t="s">
        <v>14</v>
      </c>
      <c r="C44" s="2">
        <f>E4</f>
        <v>0.06</v>
      </c>
      <c r="D44" s="1">
        <f>$C$44*D41</f>
        <v>22.799603525697549</v>
      </c>
      <c r="E44" s="1">
        <f t="shared" ref="E44:R44" si="18">$C$44*E41</f>
        <v>22.582969045282528</v>
      </c>
      <c r="F44" s="1">
        <f t="shared" si="18"/>
        <v>22.344327321749493</v>
      </c>
      <c r="G44" s="1">
        <f t="shared" si="18"/>
        <v>22.082531305479346</v>
      </c>
      <c r="H44" s="1">
        <f t="shared" si="18"/>
        <v>21.796376748106756</v>
      </c>
      <c r="I44" s="1">
        <f t="shared" si="18"/>
        <v>21.48459924037596</v>
      </c>
      <c r="J44" s="1">
        <f t="shared" si="18"/>
        <v>21.145871088377898</v>
      </c>
      <c r="K44" s="1">
        <f t="shared" si="18"/>
        <v>20.778798018912152</v>
      </c>
      <c r="L44" s="1">
        <f t="shared" si="18"/>
        <v>20.381915704165809</v>
      </c>
      <c r="M44" s="1">
        <f t="shared" si="18"/>
        <v>19.953686095316339</v>
      </c>
      <c r="N44" s="1">
        <f t="shared" si="18"/>
        <v>19.49249355404449</v>
      </c>
      <c r="O44" s="1">
        <f t="shared" si="18"/>
        <v>16.129395130742111</v>
      </c>
      <c r="P44" s="1">
        <f t="shared" si="18"/>
        <v>12.515197217413602</v>
      </c>
      <c r="Q44" s="1">
        <f t="shared" si="18"/>
        <v>8.633815641860636</v>
      </c>
      <c r="R44" s="1">
        <f t="shared" si="18"/>
        <v>4.4681462833693848</v>
      </c>
    </row>
    <row r="45" spans="1:18" x14ac:dyDescent="0.35">
      <c r="B45" t="s">
        <v>51</v>
      </c>
      <c r="C45" s="2"/>
      <c r="D45" s="1">
        <f>D44*$C$8/(1-$C$8)</f>
        <v>1.8486165020835847</v>
      </c>
      <c r="E45" s="1">
        <f t="shared" ref="E45:R45" si="19">E44*$C$8/(1-$C$8)</f>
        <v>1.8310515442120967</v>
      </c>
      <c r="F45" s="1">
        <f t="shared" si="19"/>
        <v>1.8117022152769857</v>
      </c>
      <c r="G45" s="1">
        <f t="shared" si="19"/>
        <v>1.7904755112550821</v>
      </c>
      <c r="H45" s="1">
        <f t="shared" si="19"/>
        <v>1.7672737903870339</v>
      </c>
      <c r="I45" s="1">
        <f t="shared" si="19"/>
        <v>1.7419945330034561</v>
      </c>
      <c r="J45" s="1">
        <f t="shared" si="19"/>
        <v>1.7145300882468564</v>
      </c>
      <c r="K45" s="1">
        <f t="shared" si="19"/>
        <v>1.684767406938823</v>
      </c>
      <c r="L45" s="1">
        <f t="shared" si="19"/>
        <v>1.6525877597972276</v>
      </c>
      <c r="M45" s="1">
        <f t="shared" si="19"/>
        <v>1.6178664401607841</v>
      </c>
      <c r="N45" s="1">
        <f t="shared" si="19"/>
        <v>1.5804724503279315</v>
      </c>
      <c r="O45" s="1">
        <f t="shared" si="19"/>
        <v>1.3077887943844955</v>
      </c>
      <c r="P45" s="1">
        <f t="shared" si="19"/>
        <v>1.0147457203308325</v>
      </c>
      <c r="Q45" s="1">
        <f t="shared" si="19"/>
        <v>0.70003910609680831</v>
      </c>
      <c r="R45" s="1">
        <f t="shared" si="19"/>
        <v>0.36228213108400414</v>
      </c>
    </row>
    <row r="46" spans="1:18" x14ac:dyDescent="0.35">
      <c r="B46" t="s">
        <v>67</v>
      </c>
      <c r="D46" s="1">
        <f>D11</f>
        <v>5</v>
      </c>
      <c r="E46" s="1">
        <f t="shared" ref="E46:R46" si="20">E11</f>
        <v>5.2</v>
      </c>
      <c r="F46" s="1">
        <f t="shared" si="20"/>
        <v>5.4080000000000004</v>
      </c>
      <c r="G46" s="1">
        <f t="shared" si="20"/>
        <v>5.6243200000000009</v>
      </c>
      <c r="H46" s="1">
        <f t="shared" si="20"/>
        <v>5.8492928000000015</v>
      </c>
      <c r="I46" s="1">
        <f t="shared" si="20"/>
        <v>6.0832645120000022</v>
      </c>
      <c r="J46" s="1">
        <f t="shared" si="20"/>
        <v>6.3265950924800025</v>
      </c>
      <c r="K46" s="1">
        <f t="shared" si="20"/>
        <v>6.5796588961792031</v>
      </c>
      <c r="L46" s="1">
        <f t="shared" si="20"/>
        <v>6.8428452520263718</v>
      </c>
      <c r="M46" s="1">
        <f t="shared" si="20"/>
        <v>7.1165590621074273</v>
      </c>
      <c r="N46" s="1">
        <f t="shared" si="20"/>
        <v>7.4012214245917249</v>
      </c>
      <c r="O46" s="1">
        <f t="shared" si="20"/>
        <v>7.6972702815753946</v>
      </c>
      <c r="P46" s="1">
        <f t="shared" si="20"/>
        <v>8.00516109283841</v>
      </c>
      <c r="Q46" s="1">
        <f t="shared" si="20"/>
        <v>8.3253675365519459</v>
      </c>
      <c r="R46" s="1">
        <f t="shared" si="20"/>
        <v>8.6583822380140241</v>
      </c>
    </row>
    <row r="48" spans="1:18" x14ac:dyDescent="0.35">
      <c r="B48" t="s">
        <v>26</v>
      </c>
      <c r="C48" s="1">
        <f>-C25-C39</f>
        <v>-799.99999999999909</v>
      </c>
      <c r="D48" s="1">
        <f t="shared" ref="D48:R48" si="21">D38+D26</f>
        <v>76.520129257660571</v>
      </c>
      <c r="E48" s="1">
        <f t="shared" si="21"/>
        <v>77.285330550237177</v>
      </c>
      <c r="F48" s="1">
        <f t="shared" si="21"/>
        <v>78.058183855739557</v>
      </c>
      <c r="G48" s="1">
        <f t="shared" si="21"/>
        <v>78.838765694296953</v>
      </c>
      <c r="H48" s="1">
        <f t="shared" si="21"/>
        <v>79.627153351239912</v>
      </c>
      <c r="I48" s="1">
        <f t="shared" si="21"/>
        <v>80.423424884752308</v>
      </c>
      <c r="J48" s="1">
        <f t="shared" si="21"/>
        <v>81.227659133599843</v>
      </c>
      <c r="K48" s="1">
        <f t="shared" si="21"/>
        <v>82.03993572493583</v>
      </c>
      <c r="L48" s="1">
        <f t="shared" si="21"/>
        <v>82.860335082185202</v>
      </c>
      <c r="M48" s="1">
        <f t="shared" si="21"/>
        <v>83.688938433007038</v>
      </c>
      <c r="N48" s="1">
        <f t="shared" si="21"/>
        <v>84.525827817337117</v>
      </c>
      <c r="O48" s="1">
        <f t="shared" si="21"/>
        <v>85.371086095510492</v>
      </c>
      <c r="P48" s="1">
        <f t="shared" si="21"/>
        <v>86.224796956465596</v>
      </c>
      <c r="Q48" s="1">
        <f t="shared" si="21"/>
        <v>87.087044926030259</v>
      </c>
      <c r="R48" s="1">
        <f t="shared" si="21"/>
        <v>87.957915375290568</v>
      </c>
    </row>
    <row r="49" spans="1:18" x14ac:dyDescent="0.35">
      <c r="B49" t="s">
        <v>28</v>
      </c>
      <c r="C49" s="2">
        <f>IRR(C48:R48)</f>
        <v>5.7946836849744443E-2</v>
      </c>
      <c r="D49" t="s">
        <v>31</v>
      </c>
    </row>
    <row r="50" spans="1:18" x14ac:dyDescent="0.35">
      <c r="B50" t="s">
        <v>29</v>
      </c>
      <c r="C50" s="2">
        <v>5.7946836849744443E-2</v>
      </c>
      <c r="D50" t="s">
        <v>32</v>
      </c>
    </row>
    <row r="51" spans="1:18" x14ac:dyDescent="0.35">
      <c r="B51" t="s">
        <v>30</v>
      </c>
      <c r="C51" s="2">
        <f>C49-C50</f>
        <v>0</v>
      </c>
      <c r="D51" t="s">
        <v>30</v>
      </c>
    </row>
    <row r="54" spans="1:18" x14ac:dyDescent="0.35">
      <c r="A54" t="s">
        <v>53</v>
      </c>
    </row>
    <row r="55" spans="1:18" x14ac:dyDescent="0.35">
      <c r="B55" t="s">
        <v>0</v>
      </c>
      <c r="D55" s="1">
        <f t="shared" ref="D55:R55" si="22">D10</f>
        <v>100</v>
      </c>
      <c r="E55" s="1">
        <f t="shared" si="22"/>
        <v>101</v>
      </c>
      <c r="F55" s="1">
        <f t="shared" si="22"/>
        <v>102.01</v>
      </c>
      <c r="G55" s="1">
        <f t="shared" si="22"/>
        <v>103.0301</v>
      </c>
      <c r="H55" s="1">
        <f t="shared" si="22"/>
        <v>104.060401</v>
      </c>
      <c r="I55" s="1">
        <f t="shared" si="22"/>
        <v>105.10100500999999</v>
      </c>
      <c r="J55" s="1">
        <f t="shared" si="22"/>
        <v>106.1520150601</v>
      </c>
      <c r="K55" s="1">
        <f t="shared" si="22"/>
        <v>107.213535210701</v>
      </c>
      <c r="L55" s="1">
        <f t="shared" si="22"/>
        <v>108.28567056280801</v>
      </c>
      <c r="M55" s="1">
        <f t="shared" si="22"/>
        <v>109.36852726843608</v>
      </c>
      <c r="N55" s="1">
        <f t="shared" si="22"/>
        <v>110.46221254112045</v>
      </c>
      <c r="O55" s="1">
        <f t="shared" si="22"/>
        <v>111.56683466653166</v>
      </c>
      <c r="P55" s="1">
        <f t="shared" si="22"/>
        <v>112.68250301319698</v>
      </c>
      <c r="Q55" s="1">
        <f t="shared" si="22"/>
        <v>113.80932804332895</v>
      </c>
      <c r="R55" s="1">
        <f t="shared" si="22"/>
        <v>114.94742132376224</v>
      </c>
    </row>
    <row r="56" spans="1:18" x14ac:dyDescent="0.35">
      <c r="B56" t="s">
        <v>26</v>
      </c>
      <c r="D56" s="1">
        <f>D26+D38</f>
        <v>76.520129257660571</v>
      </c>
      <c r="E56" s="1">
        <f t="shared" ref="E56:R56" si="23">E26+E38</f>
        <v>77.285330550237177</v>
      </c>
      <c r="F56" s="1">
        <f t="shared" si="23"/>
        <v>78.058183855739557</v>
      </c>
      <c r="G56" s="1">
        <f t="shared" si="23"/>
        <v>78.838765694296953</v>
      </c>
      <c r="H56" s="1">
        <f t="shared" si="23"/>
        <v>79.627153351239912</v>
      </c>
      <c r="I56" s="1">
        <f t="shared" si="23"/>
        <v>80.423424884752308</v>
      </c>
      <c r="J56" s="1">
        <f t="shared" si="23"/>
        <v>81.227659133599843</v>
      </c>
      <c r="K56" s="1">
        <f t="shared" si="23"/>
        <v>82.03993572493583</v>
      </c>
      <c r="L56" s="1">
        <f t="shared" si="23"/>
        <v>82.860335082185202</v>
      </c>
      <c r="M56" s="1">
        <f t="shared" si="23"/>
        <v>83.688938433007038</v>
      </c>
      <c r="N56" s="1">
        <f t="shared" si="23"/>
        <v>84.525827817337117</v>
      </c>
      <c r="O56" s="1">
        <f t="shared" si="23"/>
        <v>85.371086095510492</v>
      </c>
      <c r="P56" s="1">
        <f t="shared" si="23"/>
        <v>86.224796956465596</v>
      </c>
      <c r="Q56" s="1">
        <f t="shared" si="23"/>
        <v>87.087044926030259</v>
      </c>
      <c r="R56" s="1">
        <f t="shared" si="23"/>
        <v>87.957915375290568</v>
      </c>
    </row>
    <row r="57" spans="1:18" x14ac:dyDescent="0.35">
      <c r="B57" t="s">
        <v>54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5">
      <c r="B58" t="s">
        <v>26</v>
      </c>
      <c r="D58" s="1">
        <f>D56+D57</f>
        <v>76.520129257660571</v>
      </c>
      <c r="E58" s="1">
        <f t="shared" ref="E58:R58" si="24">E56+E57</f>
        <v>77.285330550237177</v>
      </c>
      <c r="F58" s="1">
        <f t="shared" si="24"/>
        <v>78.058183855739557</v>
      </c>
      <c r="G58" s="1">
        <f t="shared" si="24"/>
        <v>78.838765694296953</v>
      </c>
      <c r="H58" s="1">
        <f t="shared" si="24"/>
        <v>79.627153351239912</v>
      </c>
      <c r="I58" s="1">
        <f t="shared" si="24"/>
        <v>80.423424884752308</v>
      </c>
      <c r="J58" s="1">
        <f t="shared" si="24"/>
        <v>81.227659133599843</v>
      </c>
      <c r="K58" s="1">
        <f t="shared" si="24"/>
        <v>82.03993572493583</v>
      </c>
      <c r="L58" s="1">
        <f t="shared" si="24"/>
        <v>82.860335082185202</v>
      </c>
      <c r="M58" s="1">
        <f t="shared" si="24"/>
        <v>83.688938433007038</v>
      </c>
      <c r="N58" s="1">
        <f t="shared" si="24"/>
        <v>84.525827817337117</v>
      </c>
      <c r="O58" s="1">
        <f t="shared" si="24"/>
        <v>85.371086095510492</v>
      </c>
      <c r="P58" s="1">
        <f t="shared" si="24"/>
        <v>86.224796956465596</v>
      </c>
      <c r="Q58" s="1">
        <f t="shared" si="24"/>
        <v>87.087044926030259</v>
      </c>
      <c r="R58" s="1">
        <f t="shared" si="24"/>
        <v>87.957915375290568</v>
      </c>
    </row>
    <row r="59" spans="1:18" x14ac:dyDescent="0.35">
      <c r="B59" t="s">
        <v>55</v>
      </c>
      <c r="D59" s="1">
        <f>D55/D58</f>
        <v>1.3068456753814071</v>
      </c>
      <c r="E59" s="1">
        <f t="shared" ref="E59:R59" si="25">E55/E58</f>
        <v>1.3068456753814071</v>
      </c>
      <c r="F59" s="1">
        <f t="shared" si="25"/>
        <v>1.3068456753814071</v>
      </c>
      <c r="G59" s="1">
        <f t="shared" si="25"/>
        <v>1.3068456753814071</v>
      </c>
      <c r="H59" s="1">
        <f t="shared" si="25"/>
        <v>1.3068456753814071</v>
      </c>
      <c r="I59" s="1">
        <f t="shared" si="25"/>
        <v>1.3068456753814071</v>
      </c>
      <c r="J59" s="1">
        <f t="shared" si="25"/>
        <v>1.3068456753814071</v>
      </c>
      <c r="K59" s="1">
        <f t="shared" si="25"/>
        <v>1.3068456753814071</v>
      </c>
      <c r="L59" s="1">
        <f t="shared" si="25"/>
        <v>1.3068456753814068</v>
      </c>
      <c r="M59" s="1">
        <f t="shared" si="25"/>
        <v>1.3068456753814071</v>
      </c>
      <c r="N59" s="1">
        <f t="shared" si="25"/>
        <v>1.3068456753814071</v>
      </c>
      <c r="O59" s="1">
        <f t="shared" si="25"/>
        <v>1.3068456753814071</v>
      </c>
      <c r="P59" s="1">
        <f t="shared" si="25"/>
        <v>1.3068456753814071</v>
      </c>
      <c r="Q59" s="1">
        <f t="shared" si="25"/>
        <v>1.3068456753814071</v>
      </c>
      <c r="R59" s="1">
        <f t="shared" si="25"/>
        <v>1.3068456753814071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Macro1">
                <anchor moveWithCells="1" sizeWithCells="1">
                  <from>
                    <xdr:col>5</xdr:col>
                    <xdr:colOff>546100</xdr:colOff>
                    <xdr:row>49</xdr:row>
                    <xdr:rowOff>165100</xdr:rowOff>
                  </from>
                  <to>
                    <xdr:col>7</xdr:col>
                    <xdr:colOff>114300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Macro1">
                <anchor moveWithCells="1" sizeWithCells="1">
                  <from>
                    <xdr:col>4</xdr:col>
                    <xdr:colOff>165100</xdr:colOff>
                    <xdr:row>6</xdr:row>
                    <xdr:rowOff>6350</xdr:rowOff>
                  </from>
                  <to>
                    <xdr:col>5</xdr:col>
                    <xdr:colOff>342900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D1C18-3AC2-4EA6-A171-560A5E10A13C}">
  <sheetPr codeName="Sheet2"/>
  <dimension ref="A2:R57"/>
  <sheetViews>
    <sheetView workbookViewId="0">
      <pane xSplit="3" ySplit="12" topLeftCell="D13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RowHeight="14.5" x14ac:dyDescent="0.35"/>
  <cols>
    <col min="1" max="1" width="2" customWidth="1"/>
    <col min="2" max="2" width="25.36328125" customWidth="1"/>
    <col min="3" max="9" width="11.08984375" customWidth="1"/>
  </cols>
  <sheetData>
    <row r="2" spans="1:18" x14ac:dyDescent="0.35">
      <c r="A2" t="s">
        <v>57</v>
      </c>
      <c r="J2" t="s">
        <v>63</v>
      </c>
    </row>
    <row r="3" spans="1:18" x14ac:dyDescent="0.35">
      <c r="B3" t="s">
        <v>17</v>
      </c>
      <c r="C3">
        <v>700</v>
      </c>
      <c r="J3" t="s">
        <v>65</v>
      </c>
    </row>
    <row r="4" spans="1:18" x14ac:dyDescent="0.35">
      <c r="C4" t="s">
        <v>56</v>
      </c>
      <c r="D4" s="5" t="s">
        <v>47</v>
      </c>
      <c r="E4" s="5" t="s">
        <v>48</v>
      </c>
      <c r="F4" t="s">
        <v>49</v>
      </c>
      <c r="G4" t="s">
        <v>58</v>
      </c>
      <c r="H4" t="s">
        <v>49</v>
      </c>
    </row>
    <row r="5" spans="1:18" x14ac:dyDescent="0.35">
      <c r="B5" t="s">
        <v>15</v>
      </c>
      <c r="C5" s="3">
        <v>0.6</v>
      </c>
      <c r="D5">
        <v>15</v>
      </c>
      <c r="E5" s="2">
        <v>0.04</v>
      </c>
      <c r="F5" s="2">
        <f>E5+E5*$C$9/(1-$C$9)</f>
        <v>4.3243243243243246E-2</v>
      </c>
      <c r="G5">
        <f>C5*$C$3</f>
        <v>420</v>
      </c>
      <c r="H5" s="2">
        <f>E5*(1+$C$10)</f>
        <v>4.3243243243243246E-2</v>
      </c>
      <c r="J5" t="s">
        <v>40</v>
      </c>
    </row>
    <row r="6" spans="1:18" x14ac:dyDescent="0.35">
      <c r="B6" t="s">
        <v>16</v>
      </c>
      <c r="C6" s="3">
        <v>0.4</v>
      </c>
      <c r="D6">
        <v>10</v>
      </c>
      <c r="E6" s="2">
        <v>0.06</v>
      </c>
      <c r="F6" s="2">
        <f>E6+E6*$C$9/(1-$C$9)</f>
        <v>6.4864864864864868E-2</v>
      </c>
      <c r="G6">
        <f>C6*$C$3</f>
        <v>280</v>
      </c>
      <c r="H6" s="2">
        <f>E6*(1+$C$10)</f>
        <v>6.4864864864864868E-2</v>
      </c>
      <c r="J6" t="s">
        <v>41</v>
      </c>
    </row>
    <row r="7" spans="1:18" x14ac:dyDescent="0.35">
      <c r="B7" t="s">
        <v>18</v>
      </c>
      <c r="G7">
        <f>SUM(G5:G6)</f>
        <v>700</v>
      </c>
      <c r="J7" t="s">
        <v>66</v>
      </c>
    </row>
    <row r="9" spans="1:18" x14ac:dyDescent="0.35">
      <c r="B9" t="s">
        <v>51</v>
      </c>
      <c r="C9" s="2">
        <v>7.4999999999999997E-2</v>
      </c>
    </row>
    <row r="10" spans="1:18" x14ac:dyDescent="0.35">
      <c r="B10" t="s">
        <v>52</v>
      </c>
      <c r="C10" s="2">
        <f>C9/(1-C9)</f>
        <v>8.1081081081081072E-2</v>
      </c>
    </row>
    <row r="11" spans="1:18" x14ac:dyDescent="0.35">
      <c r="D11">
        <v>1</v>
      </c>
      <c r="E11">
        <v>2</v>
      </c>
      <c r="F11">
        <v>3</v>
      </c>
      <c r="G11">
        <v>4</v>
      </c>
      <c r="H11">
        <v>5</v>
      </c>
      <c r="I11">
        <v>6</v>
      </c>
      <c r="J11">
        <v>7</v>
      </c>
      <c r="K11">
        <v>8</v>
      </c>
      <c r="L11">
        <v>9</v>
      </c>
      <c r="M11">
        <v>10</v>
      </c>
      <c r="N11">
        <v>11</v>
      </c>
      <c r="O11">
        <v>12</v>
      </c>
      <c r="P11">
        <v>13</v>
      </c>
      <c r="Q11">
        <v>14</v>
      </c>
      <c r="R11">
        <v>15</v>
      </c>
    </row>
    <row r="12" spans="1:18" x14ac:dyDescent="0.35">
      <c r="B12" t="s">
        <v>0</v>
      </c>
      <c r="D12" s="1">
        <v>100</v>
      </c>
      <c r="E12" s="1">
        <f>D12*1.01</f>
        <v>101</v>
      </c>
      <c r="F12" s="1">
        <f t="shared" ref="F12:R12" si="0">E12*1.01</f>
        <v>102.01</v>
      </c>
      <c r="G12" s="1">
        <f t="shared" si="0"/>
        <v>103.0301</v>
      </c>
      <c r="H12" s="1">
        <f t="shared" si="0"/>
        <v>104.060401</v>
      </c>
      <c r="I12" s="1">
        <f t="shared" si="0"/>
        <v>105.10100500999999</v>
      </c>
      <c r="J12" s="1">
        <f t="shared" si="0"/>
        <v>106.1520150601</v>
      </c>
      <c r="K12" s="1">
        <f t="shared" si="0"/>
        <v>107.213535210701</v>
      </c>
      <c r="L12" s="1">
        <f t="shared" si="0"/>
        <v>108.28567056280801</v>
      </c>
      <c r="M12" s="1">
        <f t="shared" si="0"/>
        <v>109.36852726843608</v>
      </c>
      <c r="N12" s="1">
        <f t="shared" si="0"/>
        <v>110.46221254112045</v>
      </c>
      <c r="O12" s="1">
        <f t="shared" si="0"/>
        <v>111.56683466653166</v>
      </c>
      <c r="P12" s="1">
        <f t="shared" si="0"/>
        <v>112.68250301319698</v>
      </c>
      <c r="Q12" s="1">
        <f t="shared" si="0"/>
        <v>113.80932804332895</v>
      </c>
      <c r="R12" s="1">
        <f t="shared" si="0"/>
        <v>114.94742132376224</v>
      </c>
    </row>
    <row r="13" spans="1:18" x14ac:dyDescent="0.35">
      <c r="A13" t="s">
        <v>37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5">
      <c r="B14" t="s">
        <v>52</v>
      </c>
      <c r="C14" s="2">
        <f>F6</f>
        <v>6.4864864864864868E-2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5">
      <c r="B15" t="s">
        <v>38</v>
      </c>
      <c r="C15" s="1">
        <f>G6</f>
        <v>280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5">
      <c r="B16" t="s">
        <v>19</v>
      </c>
      <c r="C16" s="1">
        <f>NPV(C14,D16:M16)</f>
        <v>748.73387716215939</v>
      </c>
      <c r="D16" s="1">
        <f>D12</f>
        <v>100</v>
      </c>
      <c r="E16" s="1">
        <f t="shared" ref="E16:M16" si="1">E12</f>
        <v>101</v>
      </c>
      <c r="F16" s="1">
        <f t="shared" si="1"/>
        <v>102.01</v>
      </c>
      <c r="G16" s="1">
        <f t="shared" si="1"/>
        <v>103.0301</v>
      </c>
      <c r="H16" s="1">
        <f t="shared" si="1"/>
        <v>104.060401</v>
      </c>
      <c r="I16" s="1">
        <f t="shared" si="1"/>
        <v>105.10100500999999</v>
      </c>
      <c r="J16" s="1">
        <f t="shared" si="1"/>
        <v>106.1520150601</v>
      </c>
      <c r="K16" s="1">
        <f t="shared" si="1"/>
        <v>107.213535210701</v>
      </c>
      <c r="L16" s="1">
        <f t="shared" si="1"/>
        <v>108.28567056280801</v>
      </c>
      <c r="M16" s="1">
        <f t="shared" si="1"/>
        <v>109.36852726843608</v>
      </c>
      <c r="N16" s="1"/>
      <c r="O16" s="1"/>
      <c r="P16" s="1"/>
      <c r="Q16" s="1"/>
      <c r="R16" s="1"/>
    </row>
    <row r="17" spans="1:18" x14ac:dyDescent="0.35">
      <c r="B17" t="s">
        <v>20</v>
      </c>
      <c r="C17" s="1">
        <f>C16/C15</f>
        <v>2.6740495612934265</v>
      </c>
      <c r="D17" s="1">
        <f>D16/$C$17</f>
        <v>37.396464690665802</v>
      </c>
      <c r="E17" s="1">
        <f t="shared" ref="E17:M17" si="2">E16/$C$17</f>
        <v>37.770429337572459</v>
      </c>
      <c r="F17" s="1">
        <f t="shared" si="2"/>
        <v>38.148133630948188</v>
      </c>
      <c r="G17" s="1">
        <f t="shared" si="2"/>
        <v>38.529614967257665</v>
      </c>
      <c r="H17" s="1">
        <f t="shared" si="2"/>
        <v>38.914911116930242</v>
      </c>
      <c r="I17" s="1">
        <f t="shared" si="2"/>
        <v>39.304060228099544</v>
      </c>
      <c r="J17" s="1">
        <f t="shared" si="2"/>
        <v>39.697100830380542</v>
      </c>
      <c r="K17" s="1">
        <f t="shared" si="2"/>
        <v>40.094071838684343</v>
      </c>
      <c r="L17" s="1">
        <f t="shared" si="2"/>
        <v>40.495012557071185</v>
      </c>
      <c r="M17" s="1">
        <f t="shared" si="2"/>
        <v>40.899962682641899</v>
      </c>
      <c r="N17" s="1"/>
      <c r="O17" s="1"/>
      <c r="P17" s="1"/>
      <c r="Q17" s="1"/>
      <c r="R17" s="1"/>
    </row>
    <row r="18" spans="1:18" x14ac:dyDescent="0.3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5">
      <c r="B19" t="s">
        <v>11</v>
      </c>
      <c r="D19" s="1">
        <f>C21</f>
        <v>280</v>
      </c>
      <c r="E19" s="1">
        <f t="shared" ref="E19:M19" si="3">D21</f>
        <v>260.76569747149637</v>
      </c>
      <c r="F19" s="1">
        <f t="shared" si="3"/>
        <v>239.90979986180474</v>
      </c>
      <c r="G19" s="1">
        <f t="shared" si="3"/>
        <v>217.32338297864931</v>
      </c>
      <c r="H19" s="1">
        <f t="shared" si="3"/>
        <v>192.89041988027699</v>
      </c>
      <c r="I19" s="1">
        <f t="shared" si="3"/>
        <v>166.48731978260795</v>
      </c>
      <c r="J19" s="1">
        <f t="shared" si="3"/>
        <v>137.98243705392082</v>
      </c>
      <c r="K19" s="1">
        <f t="shared" si="3"/>
        <v>107.23554835676757</v>
      </c>
      <c r="L19" s="1">
        <f t="shared" si="3"/>
        <v>74.097295870954639</v>
      </c>
      <c r="M19" s="1">
        <f t="shared" si="3"/>
        <v>38.408594397404833</v>
      </c>
      <c r="N19" s="1"/>
      <c r="O19" s="1"/>
      <c r="P19" s="1"/>
      <c r="Q19" s="1"/>
      <c r="R19" s="1"/>
    </row>
    <row r="20" spans="1:18" x14ac:dyDescent="0.35">
      <c r="B20" t="s">
        <v>24</v>
      </c>
      <c r="D20" s="1">
        <f>D17-D22-D23</f>
        <v>19.23430252850364</v>
      </c>
      <c r="E20" s="1">
        <f t="shared" ref="E20:M20" si="4">E17-E22-E23</f>
        <v>20.855897609691617</v>
      </c>
      <c r="F20" s="1">
        <f t="shared" si="4"/>
        <v>22.586416883155447</v>
      </c>
      <c r="G20" s="1">
        <f t="shared" si="4"/>
        <v>24.432963098372305</v>
      </c>
      <c r="H20" s="1">
        <f t="shared" si="4"/>
        <v>26.403100097669029</v>
      </c>
      <c r="I20" s="1">
        <f t="shared" si="4"/>
        <v>28.504882728687139</v>
      </c>
      <c r="J20" s="1">
        <f t="shared" si="4"/>
        <v>30.746888697153246</v>
      </c>
      <c r="K20" s="1">
        <f t="shared" si="4"/>
        <v>33.138252485812934</v>
      </c>
      <c r="L20" s="1">
        <f t="shared" si="4"/>
        <v>35.688701473549806</v>
      </c>
      <c r="M20" s="1">
        <f t="shared" si="4"/>
        <v>38.408594397404826</v>
      </c>
      <c r="N20" s="1"/>
      <c r="O20" s="1"/>
      <c r="P20" s="1"/>
      <c r="Q20" s="1"/>
      <c r="R20" s="1"/>
    </row>
    <row r="21" spans="1:18" x14ac:dyDescent="0.35">
      <c r="B21" t="s">
        <v>13</v>
      </c>
      <c r="C21" s="1">
        <f>C15</f>
        <v>280</v>
      </c>
      <c r="D21" s="1">
        <f>D19-D20</f>
        <v>260.76569747149637</v>
      </c>
      <c r="E21" s="1">
        <f t="shared" ref="E21:M21" si="5">E19-E20</f>
        <v>239.90979986180474</v>
      </c>
      <c r="F21" s="1">
        <f t="shared" si="5"/>
        <v>217.32338297864931</v>
      </c>
      <c r="G21" s="1">
        <f t="shared" si="5"/>
        <v>192.89041988027699</v>
      </c>
      <c r="H21" s="1">
        <f t="shared" si="5"/>
        <v>166.48731978260795</v>
      </c>
      <c r="I21" s="1">
        <f t="shared" si="5"/>
        <v>137.98243705392082</v>
      </c>
      <c r="J21" s="1">
        <f t="shared" si="5"/>
        <v>107.23554835676757</v>
      </c>
      <c r="K21" s="1">
        <f t="shared" si="5"/>
        <v>74.097295870954639</v>
      </c>
      <c r="L21" s="1">
        <f t="shared" si="5"/>
        <v>38.408594397404833</v>
      </c>
      <c r="M21" s="1">
        <f t="shared" si="5"/>
        <v>0</v>
      </c>
      <c r="N21" s="1"/>
      <c r="O21" s="1"/>
      <c r="P21" s="1"/>
      <c r="Q21" s="1"/>
      <c r="R21" s="1"/>
    </row>
    <row r="22" spans="1:18" x14ac:dyDescent="0.35">
      <c r="B22" t="s">
        <v>14</v>
      </c>
      <c r="C22" s="2">
        <f>E6</f>
        <v>0.06</v>
      </c>
      <c r="D22" s="1">
        <f>D19*$C$22</f>
        <v>16.8</v>
      </c>
      <c r="E22" s="1">
        <f t="shared" ref="E22:M22" si="6">E19*$C$22</f>
        <v>15.645941848289782</v>
      </c>
      <c r="F22" s="1">
        <f t="shared" si="6"/>
        <v>14.394587991708285</v>
      </c>
      <c r="G22" s="1">
        <f t="shared" si="6"/>
        <v>13.039402978718957</v>
      </c>
      <c r="H22" s="1">
        <f t="shared" si="6"/>
        <v>11.57342519281662</v>
      </c>
      <c r="I22" s="1">
        <f t="shared" si="6"/>
        <v>9.9892391869564765</v>
      </c>
      <c r="J22" s="1">
        <f t="shared" si="6"/>
        <v>8.2789462232352484</v>
      </c>
      <c r="K22" s="1">
        <f t="shared" si="6"/>
        <v>6.4341329014060538</v>
      </c>
      <c r="L22" s="1">
        <f t="shared" si="6"/>
        <v>4.4458377522572778</v>
      </c>
      <c r="M22" s="1">
        <f t="shared" si="6"/>
        <v>2.3045156638442901</v>
      </c>
      <c r="N22" s="1"/>
      <c r="O22" s="1"/>
      <c r="P22" s="1"/>
      <c r="Q22" s="1"/>
      <c r="R22" s="1"/>
    </row>
    <row r="23" spans="1:18" x14ac:dyDescent="0.35">
      <c r="B23" t="s">
        <v>51</v>
      </c>
      <c r="C23" s="2">
        <f>C9</f>
        <v>7.4999999999999997E-2</v>
      </c>
      <c r="D23" s="1">
        <f>D22*$C$23/(1-$C$23)</f>
        <v>1.362162162162162</v>
      </c>
      <c r="E23" s="1">
        <f t="shared" ref="E23:M23" si="7">E22*$C$23/(1-$C$23)</f>
        <v>1.2685898795910633</v>
      </c>
      <c r="F23" s="1">
        <f t="shared" si="7"/>
        <v>1.1671287560844554</v>
      </c>
      <c r="G23" s="1">
        <f t="shared" si="7"/>
        <v>1.0572488901664019</v>
      </c>
      <c r="H23" s="1">
        <f t="shared" si="7"/>
        <v>0.93838582644459079</v>
      </c>
      <c r="I23" s="1">
        <f t="shared" si="7"/>
        <v>0.8099383124559304</v>
      </c>
      <c r="J23" s="1">
        <f t="shared" si="7"/>
        <v>0.67126590999204716</v>
      </c>
      <c r="K23" s="1">
        <f t="shared" si="7"/>
        <v>0.52168645146535564</v>
      </c>
      <c r="L23" s="1">
        <f t="shared" si="7"/>
        <v>0.36047333126410358</v>
      </c>
      <c r="M23" s="1">
        <f t="shared" si="7"/>
        <v>0.18685262139278025</v>
      </c>
      <c r="N23" s="1"/>
      <c r="O23" s="1"/>
      <c r="P23" s="1"/>
      <c r="Q23" s="1"/>
      <c r="R23" s="1"/>
    </row>
    <row r="24" spans="1:18" x14ac:dyDescent="0.3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5">
      <c r="A26" t="s">
        <v>62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5">
      <c r="B27" t="s">
        <v>7</v>
      </c>
      <c r="C27" s="2">
        <f>C50</f>
        <v>4.9455949090932358E-2</v>
      </c>
      <c r="D27" s="2">
        <f>C27</f>
        <v>4.9455949090932358E-2</v>
      </c>
      <c r="E27" s="2">
        <f t="shared" ref="E27:R27" si="8">D27</f>
        <v>4.9455949090932358E-2</v>
      </c>
      <c r="F27" s="2">
        <f t="shared" si="8"/>
        <v>4.9455949090932358E-2</v>
      </c>
      <c r="G27" s="2">
        <f t="shared" si="8"/>
        <v>4.9455949090932358E-2</v>
      </c>
      <c r="H27" s="2">
        <f t="shared" si="8"/>
        <v>4.9455949090932358E-2</v>
      </c>
      <c r="I27" s="2">
        <f t="shared" si="8"/>
        <v>4.9455949090932358E-2</v>
      </c>
      <c r="J27" s="2">
        <f t="shared" si="8"/>
        <v>4.9455949090932358E-2</v>
      </c>
      <c r="K27" s="2">
        <f t="shared" si="8"/>
        <v>4.9455949090932358E-2</v>
      </c>
      <c r="L27" s="2">
        <f t="shared" si="8"/>
        <v>4.9455949090932358E-2</v>
      </c>
      <c r="M27" s="2">
        <f t="shared" si="8"/>
        <v>4.9455949090932358E-2</v>
      </c>
      <c r="N27" s="2">
        <f t="shared" si="8"/>
        <v>4.9455949090932358E-2</v>
      </c>
      <c r="O27" s="2">
        <f t="shared" si="8"/>
        <v>4.9455949090932358E-2</v>
      </c>
      <c r="P27" s="2">
        <f t="shared" si="8"/>
        <v>4.9455949090932358E-2</v>
      </c>
      <c r="Q27" s="2">
        <f t="shared" si="8"/>
        <v>4.9455949090932358E-2</v>
      </c>
      <c r="R27" s="2">
        <f t="shared" si="8"/>
        <v>4.9455949090932358E-2</v>
      </c>
    </row>
    <row r="28" spans="1:18" x14ac:dyDescent="0.35">
      <c r="B28" t="s">
        <v>21</v>
      </c>
      <c r="C28" s="1">
        <v>1</v>
      </c>
      <c r="D28" s="1">
        <f t="shared" ref="D28:R28" si="9">C28*(1+D27)</f>
        <v>1.0494559490909323</v>
      </c>
      <c r="E28" s="1">
        <f t="shared" si="9"/>
        <v>1.1013577890823496</v>
      </c>
      <c r="F28" s="1">
        <f t="shared" si="9"/>
        <v>1.155826483830108</v>
      </c>
      <c r="G28" s="1">
        <f t="shared" si="9"/>
        <v>1.2129889795723612</v>
      </c>
      <c r="H28" s="1">
        <f t="shared" si="9"/>
        <v>1.2729785007939538</v>
      </c>
      <c r="I28" s="1">
        <f t="shared" si="9"/>
        <v>1.335934860723071</v>
      </c>
      <c r="J28" s="1">
        <f t="shared" si="9"/>
        <v>1.4020047871837928</v>
      </c>
      <c r="K28" s="1">
        <f t="shared" si="9"/>
        <v>1.471342264563998</v>
      </c>
      <c r="L28" s="1">
        <f t="shared" si="9"/>
        <v>1.5441088926956121</v>
      </c>
      <c r="M28" s="1">
        <f t="shared" si="9"/>
        <v>1.6204742634836222</v>
      </c>
      <c r="N28" s="1">
        <f t="shared" si="9"/>
        <v>1.7006163561616343</v>
      </c>
      <c r="O28" s="1">
        <f t="shared" si="9"/>
        <v>1.7847219520951709</v>
      </c>
      <c r="P28" s="1">
        <f t="shared" si="9"/>
        <v>1.8729870700994591</v>
      </c>
      <c r="Q28" s="1">
        <f t="shared" si="9"/>
        <v>1.9656174232862724</v>
      </c>
      <c r="R28" s="1">
        <f t="shared" si="9"/>
        <v>2.0628288985045677</v>
      </c>
    </row>
    <row r="29" spans="1:18" x14ac:dyDescent="0.3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5">
      <c r="A30" t="s">
        <v>61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5">
      <c r="B31" t="s">
        <v>59</v>
      </c>
      <c r="C31" s="1">
        <f>SUMPRODUCT(D12:R12/D28:R28)</f>
        <v>1108.0603032544595</v>
      </c>
    </row>
    <row r="32" spans="1:18" x14ac:dyDescent="0.35">
      <c r="B32" t="s">
        <v>17</v>
      </c>
      <c r="C32" s="1">
        <f>C3</f>
        <v>700</v>
      </c>
      <c r="E32" t="s">
        <v>43</v>
      </c>
    </row>
    <row r="33" spans="2:18" x14ac:dyDescent="0.35">
      <c r="B33" t="s">
        <v>60</v>
      </c>
      <c r="C33" s="1">
        <f>C31/C32</f>
        <v>1.5829432903635137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35">
      <c r="B34" t="s">
        <v>20</v>
      </c>
      <c r="C34" s="1">
        <f>C31/C32</f>
        <v>1.5829432903635137</v>
      </c>
      <c r="D34" s="1">
        <f t="shared" ref="D34:R34" si="10">D12/$C$34</f>
        <v>63.173457071248322</v>
      </c>
      <c r="E34" s="1">
        <f t="shared" si="10"/>
        <v>63.805191641960803</v>
      </c>
      <c r="F34" s="1">
        <f t="shared" si="10"/>
        <v>64.443243558380416</v>
      </c>
      <c r="G34" s="1">
        <f t="shared" si="10"/>
        <v>65.087675993964226</v>
      </c>
      <c r="H34" s="1">
        <f t="shared" si="10"/>
        <v>65.738552753903861</v>
      </c>
      <c r="I34" s="1">
        <f t="shared" si="10"/>
        <v>66.395938281442895</v>
      </c>
      <c r="J34" s="1">
        <f t="shared" si="10"/>
        <v>67.059897664257321</v>
      </c>
      <c r="K34" s="1">
        <f t="shared" si="10"/>
        <v>67.730496640899901</v>
      </c>
      <c r="L34" s="1">
        <f t="shared" si="10"/>
        <v>68.407801607308897</v>
      </c>
      <c r="M34" s="1">
        <f t="shared" si="10"/>
        <v>69.091879623381985</v>
      </c>
      <c r="N34" s="1">
        <f t="shared" si="10"/>
        <v>69.782798419615816</v>
      </c>
      <c r="O34" s="1">
        <f t="shared" si="10"/>
        <v>70.480626403811968</v>
      </c>
      <c r="P34" s="1">
        <f t="shared" si="10"/>
        <v>71.185432667850094</v>
      </c>
      <c r="Q34" s="1">
        <f t="shared" si="10"/>
        <v>71.897286994528585</v>
      </c>
      <c r="R34" s="1">
        <f t="shared" si="10"/>
        <v>72.616259864473875</v>
      </c>
    </row>
    <row r="35" spans="2:18" x14ac:dyDescent="0.35">
      <c r="B35" t="s">
        <v>39</v>
      </c>
      <c r="C35" s="1"/>
      <c r="D35" s="1">
        <f t="shared" ref="D35:R35" si="11">D17</f>
        <v>37.396464690665802</v>
      </c>
      <c r="E35" s="1">
        <f t="shared" si="11"/>
        <v>37.770429337572459</v>
      </c>
      <c r="F35" s="1">
        <f t="shared" si="11"/>
        <v>38.148133630948188</v>
      </c>
      <c r="G35" s="1">
        <f t="shared" si="11"/>
        <v>38.529614967257665</v>
      </c>
      <c r="H35" s="1">
        <f t="shared" si="11"/>
        <v>38.914911116930242</v>
      </c>
      <c r="I35" s="1">
        <f t="shared" si="11"/>
        <v>39.304060228099544</v>
      </c>
      <c r="J35" s="1">
        <f t="shared" si="11"/>
        <v>39.697100830380542</v>
      </c>
      <c r="K35" s="1">
        <f t="shared" si="11"/>
        <v>40.094071838684343</v>
      </c>
      <c r="L35" s="1">
        <f t="shared" si="11"/>
        <v>40.495012557071185</v>
      </c>
      <c r="M35" s="1">
        <f t="shared" si="11"/>
        <v>40.899962682641899</v>
      </c>
      <c r="N35" s="1">
        <f t="shared" si="11"/>
        <v>0</v>
      </c>
      <c r="O35" s="1">
        <f t="shared" si="11"/>
        <v>0</v>
      </c>
      <c r="P35" s="1">
        <f t="shared" si="11"/>
        <v>0</v>
      </c>
      <c r="Q35" s="1">
        <f t="shared" si="11"/>
        <v>0</v>
      </c>
      <c r="R35" s="1">
        <f t="shared" si="11"/>
        <v>0</v>
      </c>
    </row>
    <row r="36" spans="2:18" x14ac:dyDescent="0.35">
      <c r="B36" t="s">
        <v>23</v>
      </c>
      <c r="C36" s="1">
        <f>NPV(F5,D36:R36)</f>
        <v>419.99998883281512</v>
      </c>
      <c r="D36" s="1">
        <f>D34-D35</f>
        <v>25.77699238058252</v>
      </c>
      <c r="E36" s="1">
        <f t="shared" ref="E36:R36" si="12">E34-E35</f>
        <v>26.034762304388344</v>
      </c>
      <c r="F36" s="1">
        <f t="shared" si="12"/>
        <v>26.295109927432229</v>
      </c>
      <c r="G36" s="1">
        <f t="shared" si="12"/>
        <v>26.558061026706561</v>
      </c>
      <c r="H36" s="1">
        <f t="shared" si="12"/>
        <v>26.823641636973619</v>
      </c>
      <c r="I36" s="1">
        <f t="shared" si="12"/>
        <v>27.091878053343351</v>
      </c>
      <c r="J36" s="1">
        <f t="shared" si="12"/>
        <v>27.362796833876779</v>
      </c>
      <c r="K36" s="1">
        <f t="shared" si="12"/>
        <v>27.636424802215558</v>
      </c>
      <c r="L36" s="1">
        <f t="shared" si="12"/>
        <v>27.912789050237713</v>
      </c>
      <c r="M36" s="1">
        <f t="shared" si="12"/>
        <v>28.191916940740086</v>
      </c>
      <c r="N36" s="1">
        <f t="shared" si="12"/>
        <v>69.782798419615816</v>
      </c>
      <c r="O36" s="1">
        <f t="shared" si="12"/>
        <v>70.480626403811968</v>
      </c>
      <c r="P36" s="1">
        <f t="shared" si="12"/>
        <v>71.185432667850094</v>
      </c>
      <c r="Q36" s="1">
        <f t="shared" si="12"/>
        <v>71.897286994528585</v>
      </c>
      <c r="R36" s="1">
        <f t="shared" si="12"/>
        <v>72.616259864473875</v>
      </c>
    </row>
    <row r="37" spans="2:18" x14ac:dyDescent="0.3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35">
      <c r="B38" t="s">
        <v>11</v>
      </c>
      <c r="D38" s="1">
        <f>C40</f>
        <v>419.99998883281512</v>
      </c>
      <c r="E38" s="1">
        <f t="shared" ref="E38:R38" si="13">D40</f>
        <v>411.02299600554522</v>
      </c>
      <c r="F38" s="1">
        <f t="shared" si="13"/>
        <v>401.4291535413787</v>
      </c>
      <c r="G38" s="1">
        <f t="shared" si="13"/>
        <v>391.19120975560162</v>
      </c>
      <c r="H38" s="1">
        <f t="shared" si="13"/>
        <v>380.28079711911914</v>
      </c>
      <c r="I38" s="1">
        <f t="shared" si="13"/>
        <v>368.66838736691028</v>
      </c>
      <c r="J38" s="1">
        <f t="shared" si="13"/>
        <v>356.32324480824332</v>
      </c>
      <c r="K38" s="1">
        <f t="shared" si="13"/>
        <v>343.21337776669628</v>
      </c>
      <c r="L38" s="1">
        <f t="shared" si="13"/>
        <v>329.30548807514856</v>
      </c>
      <c r="M38" s="1">
        <f t="shared" si="13"/>
        <v>314.56491854791682</v>
      </c>
      <c r="N38" s="1">
        <f t="shared" si="13"/>
        <v>298.95559834909341</v>
      </c>
      <c r="O38" s="1">
        <f t="shared" si="13"/>
        <v>241.13102386344133</v>
      </c>
      <c r="P38" s="1">
        <f t="shared" si="13"/>
        <v>180.295638414167</v>
      </c>
      <c r="Q38" s="1">
        <f t="shared" si="13"/>
        <v>116.32203128288359</v>
      </c>
      <c r="R38" s="1">
        <f t="shared" si="13"/>
        <v>49.07762553967035</v>
      </c>
    </row>
    <row r="39" spans="2:18" x14ac:dyDescent="0.35">
      <c r="B39" t="s">
        <v>24</v>
      </c>
      <c r="D39" s="1">
        <f>D36-D41</f>
        <v>8.976992827269914</v>
      </c>
      <c r="E39" s="1">
        <f t="shared" ref="E39:R39" si="14">E36-E41</f>
        <v>9.593842464166535</v>
      </c>
      <c r="F39" s="1">
        <f t="shared" si="14"/>
        <v>10.23794378577708</v>
      </c>
      <c r="G39" s="1">
        <f t="shared" si="14"/>
        <v>10.910412636482496</v>
      </c>
      <c r="H39" s="1">
        <f t="shared" si="14"/>
        <v>11.612409752208853</v>
      </c>
      <c r="I39" s="1">
        <f t="shared" si="14"/>
        <v>12.345142558666939</v>
      </c>
      <c r="J39" s="1">
        <f t="shared" si="14"/>
        <v>13.109867041547046</v>
      </c>
      <c r="K39" s="1">
        <f t="shared" si="14"/>
        <v>13.907889691547707</v>
      </c>
      <c r="L39" s="1">
        <f t="shared" si="14"/>
        <v>14.74056952723177</v>
      </c>
      <c r="M39" s="1">
        <f t="shared" si="14"/>
        <v>15.609320198823413</v>
      </c>
      <c r="N39" s="1">
        <f t="shared" si="14"/>
        <v>57.824574485652079</v>
      </c>
      <c r="O39" s="1">
        <f t="shared" si="14"/>
        <v>60.835385449274312</v>
      </c>
      <c r="P39" s="1">
        <f t="shared" si="14"/>
        <v>63.973607131283416</v>
      </c>
      <c r="Q39" s="1">
        <f t="shared" si="14"/>
        <v>67.244405743213235</v>
      </c>
      <c r="R39" s="1">
        <f t="shared" si="14"/>
        <v>70.653154842887062</v>
      </c>
    </row>
    <row r="40" spans="2:18" x14ac:dyDescent="0.35">
      <c r="B40" t="s">
        <v>13</v>
      </c>
      <c r="C40" s="1">
        <f>C36</f>
        <v>419.99998883281512</v>
      </c>
      <c r="D40" s="1">
        <f>D38-D39</f>
        <v>411.02299600554522</v>
      </c>
      <c r="E40" s="1">
        <f t="shared" ref="E40:R40" si="15">E38-E39</f>
        <v>401.4291535413787</v>
      </c>
      <c r="F40" s="1">
        <f t="shared" si="15"/>
        <v>391.19120975560162</v>
      </c>
      <c r="G40" s="1">
        <f t="shared" si="15"/>
        <v>380.28079711911914</v>
      </c>
      <c r="H40" s="1">
        <f t="shared" si="15"/>
        <v>368.66838736691028</v>
      </c>
      <c r="I40" s="1">
        <f t="shared" si="15"/>
        <v>356.32324480824332</v>
      </c>
      <c r="J40" s="1">
        <f t="shared" si="15"/>
        <v>343.21337776669628</v>
      </c>
      <c r="K40" s="1">
        <f t="shared" si="15"/>
        <v>329.30548807514856</v>
      </c>
      <c r="L40" s="1">
        <f t="shared" si="15"/>
        <v>314.56491854791682</v>
      </c>
      <c r="M40" s="1">
        <f t="shared" si="15"/>
        <v>298.95559834909341</v>
      </c>
      <c r="N40" s="1">
        <f t="shared" si="15"/>
        <v>241.13102386344133</v>
      </c>
      <c r="O40" s="1">
        <f t="shared" si="15"/>
        <v>180.295638414167</v>
      </c>
      <c r="P40" s="1">
        <f t="shared" si="15"/>
        <v>116.32203128288359</v>
      </c>
      <c r="Q40" s="1">
        <f t="shared" si="15"/>
        <v>49.07762553967035</v>
      </c>
      <c r="R40" s="1">
        <f t="shared" si="15"/>
        <v>-21.575529303216712</v>
      </c>
    </row>
    <row r="41" spans="2:18" x14ac:dyDescent="0.35">
      <c r="B41" t="s">
        <v>14</v>
      </c>
      <c r="C41" s="2">
        <f>E5</f>
        <v>0.04</v>
      </c>
      <c r="D41" s="1">
        <f>$C$41*D38</f>
        <v>16.799999553312606</v>
      </c>
      <c r="E41" s="1">
        <f t="shared" ref="E41:R41" si="16">$C$41*E38</f>
        <v>16.44091984022181</v>
      </c>
      <c r="F41" s="1">
        <f t="shared" si="16"/>
        <v>16.057166141655149</v>
      </c>
      <c r="G41" s="1">
        <f t="shared" si="16"/>
        <v>15.647648390224065</v>
      </c>
      <c r="H41" s="1">
        <f t="shared" si="16"/>
        <v>15.211231884764766</v>
      </c>
      <c r="I41" s="1">
        <f t="shared" si="16"/>
        <v>14.746735494676411</v>
      </c>
      <c r="J41" s="1">
        <f t="shared" si="16"/>
        <v>14.252929792329732</v>
      </c>
      <c r="K41" s="1">
        <f t="shared" si="16"/>
        <v>13.728535110667851</v>
      </c>
      <c r="L41" s="1">
        <f t="shared" si="16"/>
        <v>13.172219523005943</v>
      </c>
      <c r="M41" s="1">
        <f t="shared" si="16"/>
        <v>12.582596741916673</v>
      </c>
      <c r="N41" s="1">
        <f t="shared" si="16"/>
        <v>11.958223933963737</v>
      </c>
      <c r="O41" s="1">
        <f t="shared" si="16"/>
        <v>9.6452409545376536</v>
      </c>
      <c r="P41" s="1">
        <f t="shared" si="16"/>
        <v>7.2118255365666801</v>
      </c>
      <c r="Q41" s="1">
        <f t="shared" si="16"/>
        <v>4.6528812513153435</v>
      </c>
      <c r="R41" s="1">
        <f t="shared" si="16"/>
        <v>1.963105021586814</v>
      </c>
    </row>
    <row r="42" spans="2:18" x14ac:dyDescent="0.35">
      <c r="B42" t="s">
        <v>51</v>
      </c>
      <c r="C42" s="2">
        <f>C9</f>
        <v>7.4999999999999997E-2</v>
      </c>
      <c r="D42" s="1">
        <f>D41*$C$42/(1-$C$42)</f>
        <v>1.3621621259442651</v>
      </c>
      <c r="E42" s="1">
        <f t="shared" ref="E42:R42" si="17">E41*$C$42/(1-$C$42)</f>
        <v>1.3330475546125791</v>
      </c>
      <c r="F42" s="1">
        <f t="shared" si="17"/>
        <v>1.3019323898639308</v>
      </c>
      <c r="G42" s="1">
        <f t="shared" si="17"/>
        <v>1.2687282478560051</v>
      </c>
      <c r="H42" s="1">
        <f t="shared" si="17"/>
        <v>1.2333431257917375</v>
      </c>
      <c r="I42" s="1">
        <f t="shared" si="17"/>
        <v>1.1956812563251142</v>
      </c>
      <c r="J42" s="1">
        <f t="shared" si="17"/>
        <v>1.1556429561348431</v>
      </c>
      <c r="K42" s="1">
        <f t="shared" si="17"/>
        <v>1.1131244684325285</v>
      </c>
      <c r="L42" s="1">
        <f t="shared" si="17"/>
        <v>1.0680177991626438</v>
      </c>
      <c r="M42" s="1">
        <f t="shared" si="17"/>
        <v>1.0202105466418923</v>
      </c>
      <c r="N42" s="1">
        <f t="shared" si="17"/>
        <v>0.96958572437543811</v>
      </c>
      <c r="O42" s="1">
        <f t="shared" si="17"/>
        <v>0.78204656388143123</v>
      </c>
      <c r="P42" s="1">
        <f t="shared" si="17"/>
        <v>0.58474261107297398</v>
      </c>
      <c r="Q42" s="1">
        <f t="shared" si="17"/>
        <v>0.37726064199854131</v>
      </c>
      <c r="R42" s="1">
        <f t="shared" si="17"/>
        <v>0.15917067742595789</v>
      </c>
    </row>
    <row r="44" spans="2:18" x14ac:dyDescent="0.35">
      <c r="B44" t="s">
        <v>26</v>
      </c>
      <c r="C44" s="1"/>
      <c r="D44" s="1">
        <f>D36+D35</f>
        <v>63.173457071248322</v>
      </c>
      <c r="E44" s="1">
        <f t="shared" ref="E44:R44" si="18">E36+E35</f>
        <v>63.805191641960803</v>
      </c>
      <c r="F44" s="1">
        <f t="shared" si="18"/>
        <v>64.443243558380416</v>
      </c>
      <c r="G44" s="1">
        <f t="shared" si="18"/>
        <v>65.087675993964226</v>
      </c>
      <c r="H44" s="1">
        <f t="shared" si="18"/>
        <v>65.738552753903861</v>
      </c>
      <c r="I44" s="1">
        <f t="shared" si="18"/>
        <v>66.395938281442895</v>
      </c>
      <c r="J44" s="1">
        <f t="shared" si="18"/>
        <v>67.059897664257321</v>
      </c>
      <c r="K44" s="1">
        <f t="shared" si="18"/>
        <v>67.730496640899901</v>
      </c>
      <c r="L44" s="1">
        <f t="shared" si="18"/>
        <v>68.407801607308897</v>
      </c>
      <c r="M44" s="1">
        <f t="shared" si="18"/>
        <v>69.091879623381985</v>
      </c>
      <c r="N44" s="1">
        <f t="shared" si="18"/>
        <v>69.782798419615816</v>
      </c>
      <c r="O44" s="1">
        <f t="shared" si="18"/>
        <v>70.480626403811968</v>
      </c>
      <c r="P44" s="1">
        <f t="shared" si="18"/>
        <v>71.185432667850094</v>
      </c>
      <c r="Q44" s="1">
        <f t="shared" si="18"/>
        <v>71.897286994528585</v>
      </c>
      <c r="R44" s="1">
        <f t="shared" si="18"/>
        <v>72.616259864473875</v>
      </c>
    </row>
    <row r="46" spans="2:18" x14ac:dyDescent="0.35">
      <c r="B46" t="s">
        <v>33</v>
      </c>
      <c r="C46" s="1">
        <f>-C36-C15</f>
        <v>-699.99998883281512</v>
      </c>
      <c r="D46" s="1">
        <f>D34</f>
        <v>63.173457071248322</v>
      </c>
      <c r="E46" s="1">
        <f t="shared" ref="E46:R46" si="19">E34</f>
        <v>63.805191641960803</v>
      </c>
      <c r="F46" s="1">
        <f t="shared" si="19"/>
        <v>64.443243558380416</v>
      </c>
      <c r="G46" s="1">
        <f t="shared" si="19"/>
        <v>65.087675993964226</v>
      </c>
      <c r="H46" s="1">
        <f t="shared" si="19"/>
        <v>65.738552753903861</v>
      </c>
      <c r="I46" s="1">
        <f t="shared" si="19"/>
        <v>66.395938281442895</v>
      </c>
      <c r="J46" s="1">
        <f t="shared" si="19"/>
        <v>67.059897664257321</v>
      </c>
      <c r="K46" s="1">
        <f t="shared" si="19"/>
        <v>67.730496640899901</v>
      </c>
      <c r="L46" s="1">
        <f t="shared" si="19"/>
        <v>68.407801607308897</v>
      </c>
      <c r="M46" s="1">
        <f t="shared" si="19"/>
        <v>69.091879623381985</v>
      </c>
      <c r="N46" s="1">
        <f t="shared" si="19"/>
        <v>69.782798419615816</v>
      </c>
      <c r="O46" s="1">
        <f t="shared" si="19"/>
        <v>70.480626403811968</v>
      </c>
      <c r="P46" s="1">
        <f t="shared" si="19"/>
        <v>71.185432667850094</v>
      </c>
      <c r="Q46" s="1">
        <f t="shared" si="19"/>
        <v>71.897286994528585</v>
      </c>
      <c r="R46" s="1">
        <f t="shared" si="19"/>
        <v>72.616259864473875</v>
      </c>
    </row>
    <row r="47" spans="2:18" x14ac:dyDescent="0.35">
      <c r="B47" t="s">
        <v>34</v>
      </c>
      <c r="C47" s="2">
        <f>IRR(C46:R46)</f>
        <v>4.9455951387963326E-2</v>
      </c>
    </row>
    <row r="48" spans="2:18" x14ac:dyDescent="0.35">
      <c r="B48" t="s">
        <v>2</v>
      </c>
      <c r="C48">
        <v>1</v>
      </c>
      <c r="D48" s="1">
        <f>C48*(1+$C$47)</f>
        <v>1.0494559513879633</v>
      </c>
      <c r="E48" s="1">
        <f t="shared" ref="E48:R48" si="20">D48*(1+$C$47)</f>
        <v>1.1013577939036152</v>
      </c>
      <c r="F48" s="1">
        <f t="shared" si="20"/>
        <v>1.155826491419667</v>
      </c>
      <c r="G48" s="1">
        <f t="shared" si="20"/>
        <v>1.2129889901922382</v>
      </c>
      <c r="H48" s="1">
        <f t="shared" si="20"/>
        <v>1.2729785147253203</v>
      </c>
      <c r="I48" s="1">
        <f t="shared" si="20"/>
        <v>1.3359348782674976</v>
      </c>
      <c r="J48" s="1">
        <f t="shared" si="20"/>
        <v>1.4020048086645795</v>
      </c>
      <c r="K48" s="1">
        <f t="shared" si="20"/>
        <v>1.4713422903275859</v>
      </c>
      <c r="L48" s="1">
        <f t="shared" si="20"/>
        <v>1.5441089231130816</v>
      </c>
      <c r="M48" s="1">
        <f t="shared" si="20"/>
        <v>1.6204742989522825</v>
      </c>
      <c r="N48" s="1">
        <f t="shared" si="20"/>
        <v>1.7006163971067105</v>
      </c>
      <c r="O48" s="1">
        <f t="shared" si="20"/>
        <v>1.7847219989715934</v>
      </c>
      <c r="P48" s="1">
        <f t="shared" si="20"/>
        <v>1.8729871233937614</v>
      </c>
      <c r="Q48" s="1">
        <f t="shared" si="20"/>
        <v>1.9656174835186044</v>
      </c>
      <c r="R48" s="1">
        <f t="shared" si="20"/>
        <v>2.0628289662308315</v>
      </c>
    </row>
    <row r="50" spans="2:18" x14ac:dyDescent="0.35">
      <c r="B50" t="s">
        <v>35</v>
      </c>
      <c r="C50" s="2">
        <v>4.9455949090932358E-2</v>
      </c>
      <c r="D50" t="s">
        <v>64</v>
      </c>
    </row>
    <row r="51" spans="2:18" x14ac:dyDescent="0.35">
      <c r="B51" t="s">
        <v>36</v>
      </c>
      <c r="C51" s="2">
        <f>IRR(C46:R46)</f>
        <v>4.9455951387963326E-2</v>
      </c>
    </row>
    <row r="52" spans="2:18" x14ac:dyDescent="0.35">
      <c r="B52" t="s">
        <v>30</v>
      </c>
      <c r="C52" s="4">
        <f>(C50-C51)*1000</f>
        <v>-2.2970309682124324E-6</v>
      </c>
      <c r="D52" t="s">
        <v>30</v>
      </c>
    </row>
    <row r="55" spans="2:18" x14ac:dyDescent="0.35">
      <c r="B55" t="s">
        <v>0</v>
      </c>
      <c r="D55" s="1">
        <f t="shared" ref="D55:R55" si="21">D12</f>
        <v>100</v>
      </c>
      <c r="E55" s="1">
        <f t="shared" si="21"/>
        <v>101</v>
      </c>
      <c r="F55" s="1">
        <f t="shared" si="21"/>
        <v>102.01</v>
      </c>
      <c r="G55" s="1">
        <f t="shared" si="21"/>
        <v>103.0301</v>
      </c>
      <c r="H55" s="1">
        <f t="shared" si="21"/>
        <v>104.060401</v>
      </c>
      <c r="I55" s="1">
        <f t="shared" si="21"/>
        <v>105.10100500999999</v>
      </c>
      <c r="J55" s="1">
        <f t="shared" si="21"/>
        <v>106.1520150601</v>
      </c>
      <c r="K55" s="1">
        <f t="shared" si="21"/>
        <v>107.213535210701</v>
      </c>
      <c r="L55" s="1">
        <f t="shared" si="21"/>
        <v>108.28567056280801</v>
      </c>
      <c r="M55" s="1">
        <f t="shared" si="21"/>
        <v>109.36852726843608</v>
      </c>
      <c r="N55" s="1">
        <f t="shared" si="21"/>
        <v>110.46221254112045</v>
      </c>
      <c r="O55" s="1">
        <f t="shared" si="21"/>
        <v>111.56683466653166</v>
      </c>
      <c r="P55" s="1">
        <f t="shared" si="21"/>
        <v>112.68250301319698</v>
      </c>
      <c r="Q55" s="1">
        <f t="shared" si="21"/>
        <v>113.80932804332895</v>
      </c>
      <c r="R55" s="1">
        <f t="shared" si="21"/>
        <v>114.94742132376224</v>
      </c>
    </row>
    <row r="56" spans="2:18" x14ac:dyDescent="0.35">
      <c r="B56" t="s">
        <v>6</v>
      </c>
      <c r="D56" s="1">
        <f>D44</f>
        <v>63.173457071248322</v>
      </c>
      <c r="E56" s="1">
        <f t="shared" ref="E56:R56" si="22">E44</f>
        <v>63.805191641960803</v>
      </c>
      <c r="F56" s="1">
        <f t="shared" si="22"/>
        <v>64.443243558380416</v>
      </c>
      <c r="G56" s="1">
        <f t="shared" si="22"/>
        <v>65.087675993964226</v>
      </c>
      <c r="H56" s="1">
        <f t="shared" si="22"/>
        <v>65.738552753903861</v>
      </c>
      <c r="I56" s="1">
        <f t="shared" si="22"/>
        <v>66.395938281442895</v>
      </c>
      <c r="J56" s="1">
        <f t="shared" si="22"/>
        <v>67.059897664257321</v>
      </c>
      <c r="K56" s="1">
        <f t="shared" si="22"/>
        <v>67.730496640899901</v>
      </c>
      <c r="L56" s="1">
        <f t="shared" si="22"/>
        <v>68.407801607308897</v>
      </c>
      <c r="M56" s="1">
        <f t="shared" si="22"/>
        <v>69.091879623381985</v>
      </c>
      <c r="N56" s="1">
        <f t="shared" si="22"/>
        <v>69.782798419615816</v>
      </c>
      <c r="O56" s="1">
        <f t="shared" si="22"/>
        <v>70.480626403811968</v>
      </c>
      <c r="P56" s="1">
        <f t="shared" si="22"/>
        <v>71.185432667850094</v>
      </c>
      <c r="Q56" s="1">
        <f t="shared" si="22"/>
        <v>71.897286994528585</v>
      </c>
      <c r="R56" s="1">
        <f t="shared" si="22"/>
        <v>72.616259864473875</v>
      </c>
    </row>
    <row r="57" spans="2:18" x14ac:dyDescent="0.35">
      <c r="B57" t="s">
        <v>42</v>
      </c>
      <c r="D57" s="1">
        <f>D55/D56</f>
        <v>1.5829432903635137</v>
      </c>
      <c r="E57" s="1">
        <f t="shared" ref="E57:R57" si="23">E55/E56</f>
        <v>1.5829432903635137</v>
      </c>
      <c r="F57" s="1">
        <f t="shared" si="23"/>
        <v>1.5829432903635137</v>
      </c>
      <c r="G57" s="1">
        <f t="shared" si="23"/>
        <v>1.5829432903635137</v>
      </c>
      <c r="H57" s="1">
        <f t="shared" si="23"/>
        <v>1.5829432903635137</v>
      </c>
      <c r="I57" s="1">
        <f t="shared" si="23"/>
        <v>1.5829432903635137</v>
      </c>
      <c r="J57" s="1">
        <f t="shared" si="23"/>
        <v>1.5829432903635139</v>
      </c>
      <c r="K57" s="1">
        <f t="shared" si="23"/>
        <v>1.5829432903635137</v>
      </c>
      <c r="L57" s="1">
        <f t="shared" si="23"/>
        <v>1.5829432903635137</v>
      </c>
      <c r="M57" s="1">
        <f t="shared" si="23"/>
        <v>1.5829432903635137</v>
      </c>
      <c r="N57" s="1">
        <f t="shared" si="23"/>
        <v>1.5829432903635134</v>
      </c>
      <c r="O57" s="1">
        <f t="shared" si="23"/>
        <v>1.5829432903635137</v>
      </c>
      <c r="P57" s="1">
        <f t="shared" si="23"/>
        <v>1.5829432903635137</v>
      </c>
      <c r="Q57" s="1">
        <f t="shared" si="23"/>
        <v>1.5829432903635139</v>
      </c>
      <c r="R57" s="1">
        <f t="shared" si="23"/>
        <v>1.5829432903635139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0]!Macro2">
                <anchor moveWithCells="1" sizeWithCells="1">
                  <from>
                    <xdr:col>4</xdr:col>
                    <xdr:colOff>6350</xdr:colOff>
                    <xdr:row>49</xdr:row>
                    <xdr:rowOff>25400</xdr:rowOff>
                  </from>
                  <to>
                    <xdr:col>5</xdr:col>
                    <xdr:colOff>254000</xdr:colOff>
                    <xdr:row>50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49C1-5C30-4671-87BA-9E79E39C7B98}">
  <sheetPr codeName="Sheet1"/>
  <dimension ref="B3:R30"/>
  <sheetViews>
    <sheetView workbookViewId="0">
      <selection activeCell="A12" sqref="A12"/>
    </sheetView>
  </sheetViews>
  <sheetFormatPr defaultRowHeight="14.5" x14ac:dyDescent="0.35"/>
  <cols>
    <col min="2" max="2" width="25.36328125" customWidth="1"/>
  </cols>
  <sheetData>
    <row r="3" spans="2:18" x14ac:dyDescent="0.35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</row>
    <row r="4" spans="2:18" x14ac:dyDescent="0.35">
      <c r="B4" t="s">
        <v>0</v>
      </c>
      <c r="D4" s="1">
        <v>100</v>
      </c>
      <c r="E4" s="1">
        <f>D4*1.01</f>
        <v>101</v>
      </c>
      <c r="F4" s="1">
        <f t="shared" ref="F4:R4" si="0">E4*1.01</f>
        <v>102.01</v>
      </c>
      <c r="G4" s="1">
        <f t="shared" si="0"/>
        <v>103.0301</v>
      </c>
      <c r="H4" s="1">
        <f t="shared" si="0"/>
        <v>104.060401</v>
      </c>
      <c r="I4" s="1">
        <f t="shared" si="0"/>
        <v>105.10100500999999</v>
      </c>
      <c r="J4" s="1">
        <f t="shared" si="0"/>
        <v>106.1520150601</v>
      </c>
      <c r="K4" s="1">
        <f t="shared" si="0"/>
        <v>107.213535210701</v>
      </c>
      <c r="L4" s="1">
        <f t="shared" si="0"/>
        <v>108.28567056280801</v>
      </c>
      <c r="M4" s="1">
        <f t="shared" si="0"/>
        <v>109.36852726843608</v>
      </c>
      <c r="N4" s="1">
        <f t="shared" si="0"/>
        <v>110.46221254112045</v>
      </c>
      <c r="O4" s="1">
        <f t="shared" si="0"/>
        <v>111.56683466653166</v>
      </c>
      <c r="P4" s="1">
        <f t="shared" si="0"/>
        <v>112.68250301319698</v>
      </c>
      <c r="Q4" s="1">
        <f t="shared" si="0"/>
        <v>113.80932804332895</v>
      </c>
      <c r="R4" s="1">
        <f t="shared" si="0"/>
        <v>114.94742132376224</v>
      </c>
    </row>
    <row r="6" spans="2:18" x14ac:dyDescent="0.35">
      <c r="B6" t="s">
        <v>1</v>
      </c>
      <c r="D6" s="2">
        <f>IF(MOD(D3,2),0.04,0.06)</f>
        <v>0.04</v>
      </c>
      <c r="E6" s="2">
        <f t="shared" ref="E6:R6" si="1">IF(MOD(E3,2),0.04,0.06)</f>
        <v>0.06</v>
      </c>
      <c r="F6" s="2">
        <f t="shared" si="1"/>
        <v>0.04</v>
      </c>
      <c r="G6" s="2">
        <f t="shared" si="1"/>
        <v>0.06</v>
      </c>
      <c r="H6" s="2">
        <f t="shared" si="1"/>
        <v>0.04</v>
      </c>
      <c r="I6" s="2">
        <f t="shared" si="1"/>
        <v>0.06</v>
      </c>
      <c r="J6" s="2">
        <f t="shared" si="1"/>
        <v>0.04</v>
      </c>
      <c r="K6" s="2">
        <f t="shared" si="1"/>
        <v>0.06</v>
      </c>
      <c r="L6" s="2">
        <f t="shared" si="1"/>
        <v>0.04</v>
      </c>
      <c r="M6" s="2">
        <f t="shared" si="1"/>
        <v>0.06</v>
      </c>
      <c r="N6" s="2">
        <f t="shared" si="1"/>
        <v>0.04</v>
      </c>
      <c r="O6" s="2">
        <f t="shared" si="1"/>
        <v>0.06</v>
      </c>
      <c r="P6" s="2">
        <f t="shared" si="1"/>
        <v>0.04</v>
      </c>
      <c r="Q6" s="2">
        <f t="shared" si="1"/>
        <v>0.06</v>
      </c>
      <c r="R6" s="2">
        <f t="shared" si="1"/>
        <v>0.04</v>
      </c>
    </row>
    <row r="8" spans="2:18" x14ac:dyDescent="0.35">
      <c r="B8" t="s">
        <v>2</v>
      </c>
      <c r="C8">
        <v>1</v>
      </c>
      <c r="D8" s="1">
        <f>C8*(1+D6)</f>
        <v>1.04</v>
      </c>
      <c r="E8" s="1">
        <f t="shared" ref="E8:R8" si="2">D8*(1+E6)</f>
        <v>1.1024</v>
      </c>
      <c r="F8" s="1">
        <f t="shared" si="2"/>
        <v>1.1464960000000002</v>
      </c>
      <c r="G8" s="1">
        <f t="shared" si="2"/>
        <v>1.2152857600000002</v>
      </c>
      <c r="H8" s="1">
        <f t="shared" si="2"/>
        <v>1.2638971904000003</v>
      </c>
      <c r="I8" s="1">
        <f t="shared" si="2"/>
        <v>1.3397310218240004</v>
      </c>
      <c r="J8" s="1">
        <f t="shared" si="2"/>
        <v>1.3933202626969605</v>
      </c>
      <c r="K8" s="1">
        <f t="shared" si="2"/>
        <v>1.4769194784587782</v>
      </c>
      <c r="L8" s="1">
        <f t="shared" si="2"/>
        <v>1.5359962575971293</v>
      </c>
      <c r="M8" s="1">
        <f t="shared" si="2"/>
        <v>1.6281560330529572</v>
      </c>
      <c r="N8" s="1">
        <f t="shared" si="2"/>
        <v>1.6932822743750755</v>
      </c>
      <c r="O8" s="1">
        <f t="shared" si="2"/>
        <v>1.7948792108375802</v>
      </c>
      <c r="P8" s="1">
        <f t="shared" si="2"/>
        <v>1.8666743792710834</v>
      </c>
      <c r="Q8" s="1">
        <f t="shared" si="2"/>
        <v>1.9786748420273486</v>
      </c>
      <c r="R8" s="1">
        <f t="shared" si="2"/>
        <v>2.0578218357084426</v>
      </c>
    </row>
    <row r="10" spans="2:18" x14ac:dyDescent="0.35">
      <c r="B10" t="s">
        <v>3</v>
      </c>
      <c r="C10" s="1">
        <f>SUMPRODUCT(D4:R4/D8:R8)</f>
        <v>1109.8954053568111</v>
      </c>
    </row>
    <row r="12" spans="2:18" x14ac:dyDescent="0.35">
      <c r="B12" t="s">
        <v>4</v>
      </c>
      <c r="C12">
        <v>700</v>
      </c>
    </row>
    <row r="14" spans="2:18" x14ac:dyDescent="0.35">
      <c r="B14" t="s">
        <v>5</v>
      </c>
      <c r="C14" s="1">
        <f>C10/C12</f>
        <v>1.5855648647954446</v>
      </c>
    </row>
    <row r="16" spans="2:18" x14ac:dyDescent="0.35">
      <c r="B16" t="s">
        <v>6</v>
      </c>
      <c r="C16" s="1">
        <f>C14</f>
        <v>1.5855648647954446</v>
      </c>
      <c r="D16" s="1">
        <f>D4/$C$16</f>
        <v>63.069006018180851</v>
      </c>
      <c r="E16" s="1">
        <f t="shared" ref="E16:R16" si="3">E4/$C$16</f>
        <v>63.699696078362656</v>
      </c>
      <c r="F16" s="1">
        <f t="shared" si="3"/>
        <v>64.336693039146283</v>
      </c>
      <c r="G16" s="1">
        <f t="shared" si="3"/>
        <v>64.980059969537749</v>
      </c>
      <c r="H16" s="1">
        <f t="shared" si="3"/>
        <v>65.629860569233131</v>
      </c>
      <c r="I16" s="1">
        <f t="shared" si="3"/>
        <v>66.286159174925459</v>
      </c>
      <c r="J16" s="1">
        <f t="shared" si="3"/>
        <v>66.949020766674707</v>
      </c>
      <c r="K16" s="1">
        <f t="shared" si="3"/>
        <v>67.618510974341461</v>
      </c>
      <c r="L16" s="1">
        <f t="shared" si="3"/>
        <v>68.294696084084876</v>
      </c>
      <c r="M16" s="1">
        <f t="shared" si="3"/>
        <v>68.977643044925713</v>
      </c>
      <c r="N16" s="1">
        <f t="shared" si="3"/>
        <v>69.667419475374984</v>
      </c>
      <c r="O16" s="1">
        <f t="shared" si="3"/>
        <v>70.364093670128739</v>
      </c>
      <c r="P16" s="1">
        <f t="shared" si="3"/>
        <v>71.067734606830015</v>
      </c>
      <c r="Q16" s="1">
        <f t="shared" si="3"/>
        <v>71.778411952898324</v>
      </c>
      <c r="R16" s="1">
        <f t="shared" si="3"/>
        <v>72.49619607242731</v>
      </c>
    </row>
    <row r="18" spans="2:18" x14ac:dyDescent="0.35">
      <c r="B18" t="s">
        <v>8</v>
      </c>
      <c r="C18" s="1">
        <f>-C12</f>
        <v>-700</v>
      </c>
      <c r="D18" s="1">
        <f>D16</f>
        <v>63.069006018180851</v>
      </c>
      <c r="E18" s="1">
        <f t="shared" ref="E18:R18" si="4">E16</f>
        <v>63.699696078362656</v>
      </c>
      <c r="F18" s="1">
        <f t="shared" si="4"/>
        <v>64.336693039146283</v>
      </c>
      <c r="G18" s="1">
        <f t="shared" si="4"/>
        <v>64.980059969537749</v>
      </c>
      <c r="H18" s="1">
        <f t="shared" si="4"/>
        <v>65.629860569233131</v>
      </c>
      <c r="I18" s="1">
        <f t="shared" si="4"/>
        <v>66.286159174925459</v>
      </c>
      <c r="J18" s="1">
        <f t="shared" si="4"/>
        <v>66.949020766674707</v>
      </c>
      <c r="K18" s="1">
        <f t="shared" si="4"/>
        <v>67.618510974341461</v>
      </c>
      <c r="L18" s="1">
        <f t="shared" si="4"/>
        <v>68.294696084084876</v>
      </c>
      <c r="M18" s="1">
        <f t="shared" si="4"/>
        <v>68.977643044925713</v>
      </c>
      <c r="N18" s="1">
        <f t="shared" si="4"/>
        <v>69.667419475374984</v>
      </c>
      <c r="O18" s="1">
        <f t="shared" si="4"/>
        <v>70.364093670128739</v>
      </c>
      <c r="P18" s="1">
        <f t="shared" si="4"/>
        <v>71.067734606830015</v>
      </c>
      <c r="Q18" s="1">
        <f t="shared" si="4"/>
        <v>71.778411952898324</v>
      </c>
      <c r="R18" s="1">
        <f t="shared" si="4"/>
        <v>72.49619607242731</v>
      </c>
    </row>
    <row r="20" spans="2:18" x14ac:dyDescent="0.35">
      <c r="B20" t="s">
        <v>7</v>
      </c>
      <c r="C20" s="2">
        <f>IRR(C18:R18)</f>
        <v>4.9217780383759457E-2</v>
      </c>
    </row>
    <row r="22" spans="2:18" x14ac:dyDescent="0.35">
      <c r="B22" t="s">
        <v>9</v>
      </c>
      <c r="C22">
        <v>1</v>
      </c>
      <c r="D22" s="1">
        <f>C22*(1+$C$20)</f>
        <v>1.0492177803837595</v>
      </c>
      <c r="E22" s="1">
        <f t="shared" ref="E22:R22" si="5">D22*(1+$C$20)</f>
        <v>1.1008579506734228</v>
      </c>
      <c r="F22" s="1">
        <f t="shared" si="5"/>
        <v>1.1550397355233828</v>
      </c>
      <c r="G22" s="1">
        <f t="shared" si="5"/>
        <v>1.2118882275608882</v>
      </c>
      <c r="H22" s="1">
        <f t="shared" si="5"/>
        <v>1.2715346761946436</v>
      </c>
      <c r="I22" s="1">
        <f t="shared" si="5"/>
        <v>1.3341167906379263</v>
      </c>
      <c r="J22" s="1">
        <f t="shared" si="5"/>
        <v>1.3997790578458298</v>
      </c>
      <c r="K22" s="1">
        <f t="shared" si="5"/>
        <v>1.4686730761006717</v>
      </c>
      <c r="L22" s="1">
        <f t="shared" si="5"/>
        <v>1.5409579050157349</v>
      </c>
      <c r="M22" s="1">
        <f t="shared" si="5"/>
        <v>1.6168004327654175</v>
      </c>
      <c r="N22" s="1">
        <f t="shared" si="5"/>
        <v>1.6963757613896331</v>
      </c>
      <c r="O22" s="1">
        <f t="shared" si="5"/>
        <v>1.7798676110620408</v>
      </c>
      <c r="P22" s="1">
        <f t="shared" si="5"/>
        <v>1.8674687442554589</v>
      </c>
      <c r="Q22" s="1">
        <f t="shared" si="5"/>
        <v>1.9593814107837593</v>
      </c>
      <c r="R22" s="1">
        <f t="shared" si="5"/>
        <v>2.0558178147477353</v>
      </c>
    </row>
    <row r="24" spans="2:18" x14ac:dyDescent="0.35">
      <c r="B24" t="s">
        <v>3</v>
      </c>
      <c r="C24" s="1">
        <f>SUMPRODUCT(D4:R4/D22:R22)</f>
        <v>1109.8954053567886</v>
      </c>
    </row>
    <row r="26" spans="2:18" x14ac:dyDescent="0.35">
      <c r="B26" t="s">
        <v>10</v>
      </c>
    </row>
    <row r="27" spans="2:18" x14ac:dyDescent="0.35">
      <c r="B27" t="s">
        <v>11</v>
      </c>
      <c r="D27" s="1">
        <f>C29</f>
        <v>700</v>
      </c>
      <c r="E27" s="1">
        <f t="shared" ref="E27:R27" si="6">D29</f>
        <v>664.93099398181914</v>
      </c>
      <c r="F27" s="1">
        <f t="shared" si="6"/>
        <v>641.12715754236558</v>
      </c>
      <c r="G27" s="1">
        <f t="shared" si="6"/>
        <v>602.43555080491387</v>
      </c>
      <c r="H27" s="1">
        <f t="shared" si="6"/>
        <v>573.60162388367098</v>
      </c>
      <c r="I27" s="1">
        <f t="shared" si="6"/>
        <v>530.9158282697847</v>
      </c>
      <c r="J27" s="1">
        <f t="shared" si="6"/>
        <v>496.48461879104633</v>
      </c>
      <c r="K27" s="1">
        <f t="shared" si="6"/>
        <v>449.39498277601348</v>
      </c>
      <c r="L27" s="1">
        <f t="shared" si="6"/>
        <v>408.74017076823282</v>
      </c>
      <c r="M27" s="1">
        <f t="shared" si="6"/>
        <v>356.79508151487727</v>
      </c>
      <c r="N27" s="1">
        <f t="shared" si="6"/>
        <v>309.22514336084419</v>
      </c>
      <c r="O27" s="1">
        <f t="shared" si="6"/>
        <v>251.92672961990297</v>
      </c>
      <c r="P27" s="1">
        <f t="shared" si="6"/>
        <v>196.6782397269684</v>
      </c>
      <c r="Q27" s="1">
        <f t="shared" si="6"/>
        <v>133.47763470921711</v>
      </c>
      <c r="R27" s="1">
        <f t="shared" si="6"/>
        <v>69.707880838871816</v>
      </c>
    </row>
    <row r="28" spans="2:18" x14ac:dyDescent="0.35">
      <c r="B28" t="s">
        <v>12</v>
      </c>
      <c r="D28" s="1">
        <f>D16-D30</f>
        <v>35.069006018180851</v>
      </c>
      <c r="E28" s="1">
        <f t="shared" ref="E28:R28" si="7">E16-E30</f>
        <v>23.803836439453512</v>
      </c>
      <c r="F28" s="1">
        <f t="shared" si="7"/>
        <v>38.691606737451664</v>
      </c>
      <c r="G28" s="1">
        <f t="shared" si="7"/>
        <v>28.83392692124292</v>
      </c>
      <c r="H28" s="1">
        <f t="shared" si="7"/>
        <v>42.685795613886292</v>
      </c>
      <c r="I28" s="1">
        <f t="shared" si="7"/>
        <v>34.431209478738381</v>
      </c>
      <c r="J28" s="1">
        <f t="shared" si="7"/>
        <v>47.089636015032852</v>
      </c>
      <c r="K28" s="1">
        <f t="shared" si="7"/>
        <v>40.654812007780649</v>
      </c>
      <c r="L28" s="1">
        <f t="shared" si="7"/>
        <v>51.945089253355562</v>
      </c>
      <c r="M28" s="1">
        <f t="shared" si="7"/>
        <v>47.569938154033082</v>
      </c>
      <c r="N28" s="1">
        <f t="shared" si="7"/>
        <v>57.298413740941214</v>
      </c>
      <c r="O28" s="1">
        <f t="shared" si="7"/>
        <v>55.248489892934558</v>
      </c>
      <c r="P28" s="1">
        <f t="shared" si="7"/>
        <v>63.200605017751279</v>
      </c>
      <c r="Q28" s="1">
        <f t="shared" si="7"/>
        <v>63.769753870345298</v>
      </c>
      <c r="R28" s="1">
        <f t="shared" si="7"/>
        <v>69.707880838872441</v>
      </c>
    </row>
    <row r="29" spans="2:18" x14ac:dyDescent="0.35">
      <c r="B29" t="s">
        <v>13</v>
      </c>
      <c r="C29">
        <f>C12</f>
        <v>700</v>
      </c>
      <c r="D29" s="1">
        <f>D27-D28</f>
        <v>664.93099398181914</v>
      </c>
      <c r="E29" s="1">
        <f t="shared" ref="E29:R29" si="8">E27-E28</f>
        <v>641.12715754236558</v>
      </c>
      <c r="F29" s="1">
        <f t="shared" si="8"/>
        <v>602.43555080491387</v>
      </c>
      <c r="G29" s="1">
        <f t="shared" si="8"/>
        <v>573.60162388367098</v>
      </c>
      <c r="H29" s="1">
        <f t="shared" si="8"/>
        <v>530.9158282697847</v>
      </c>
      <c r="I29" s="1">
        <f t="shared" si="8"/>
        <v>496.48461879104633</v>
      </c>
      <c r="J29" s="1">
        <f t="shared" si="8"/>
        <v>449.39498277601348</v>
      </c>
      <c r="K29" s="1">
        <f t="shared" si="8"/>
        <v>408.74017076823282</v>
      </c>
      <c r="L29" s="1">
        <f t="shared" si="8"/>
        <v>356.79508151487727</v>
      </c>
      <c r="M29" s="1">
        <f t="shared" si="8"/>
        <v>309.22514336084419</v>
      </c>
      <c r="N29" s="1">
        <f t="shared" si="8"/>
        <v>251.92672961990297</v>
      </c>
      <c r="O29" s="1">
        <f t="shared" si="8"/>
        <v>196.6782397269684</v>
      </c>
      <c r="P29" s="1">
        <f t="shared" si="8"/>
        <v>133.47763470921711</v>
      </c>
      <c r="Q29" s="1">
        <f t="shared" si="8"/>
        <v>69.707880838871816</v>
      </c>
      <c r="R29" s="1">
        <f t="shared" si="8"/>
        <v>-6.2527760746888816E-13</v>
      </c>
    </row>
    <row r="30" spans="2:18" x14ac:dyDescent="0.35">
      <c r="B30" t="s">
        <v>14</v>
      </c>
      <c r="D30" s="1">
        <f>D27*D6</f>
        <v>28</v>
      </c>
      <c r="E30" s="1">
        <f t="shared" ref="E30:R30" si="9">E27*E6</f>
        <v>39.895859638909144</v>
      </c>
      <c r="F30" s="1">
        <f t="shared" si="9"/>
        <v>25.645086301694622</v>
      </c>
      <c r="G30" s="1">
        <f t="shared" si="9"/>
        <v>36.146133048294828</v>
      </c>
      <c r="H30" s="1">
        <f t="shared" si="9"/>
        <v>22.944064955346839</v>
      </c>
      <c r="I30" s="1">
        <f t="shared" si="9"/>
        <v>31.854949696187081</v>
      </c>
      <c r="J30" s="1">
        <f t="shared" si="9"/>
        <v>19.859384751641855</v>
      </c>
      <c r="K30" s="1">
        <f t="shared" si="9"/>
        <v>26.963698966560809</v>
      </c>
      <c r="L30" s="1">
        <f t="shared" si="9"/>
        <v>16.349606830729314</v>
      </c>
      <c r="M30" s="1">
        <f t="shared" si="9"/>
        <v>21.407704890892635</v>
      </c>
      <c r="N30" s="1">
        <f t="shared" si="9"/>
        <v>12.369005734433768</v>
      </c>
      <c r="O30" s="1">
        <f t="shared" si="9"/>
        <v>15.115603777194178</v>
      </c>
      <c r="P30" s="1">
        <f t="shared" si="9"/>
        <v>7.8671295890787363</v>
      </c>
      <c r="Q30" s="1">
        <f t="shared" si="9"/>
        <v>8.0086580825530262</v>
      </c>
      <c r="R30" s="1">
        <f t="shared" si="9"/>
        <v>2.7883152335548727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Sculpted Debt</vt:lpstr>
      <vt:lpstr>Fixed Debt Fees</vt:lpstr>
      <vt:lpstr>Fixed Debt</vt:lpstr>
      <vt:lpstr>Simple</vt:lpstr>
      <vt:lpstr>'Fixed Debt Fees'!Computed</vt:lpstr>
      <vt:lpstr>Computed</vt:lpstr>
      <vt:lpstr>'Fixed Debt'!Difference</vt:lpstr>
      <vt:lpstr>'Fixed Debt Fees'!Difference</vt:lpstr>
      <vt:lpstr>Difference</vt:lpstr>
      <vt:lpstr>'Fixed Debt'!fixed</vt:lpstr>
      <vt:lpstr>'Fixed Debt Fees'!Fixed</vt:lpstr>
      <vt:lpstr>Fixed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Einstien</dc:creator>
  <cp:lastModifiedBy>Albert Einstien</cp:lastModifiedBy>
  <dcterms:created xsi:type="dcterms:W3CDTF">2019-11-22T15:11:21Z</dcterms:created>
  <dcterms:modified xsi:type="dcterms:W3CDTF">2019-12-11T13:21:25Z</dcterms:modified>
</cp:coreProperties>
</file>