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edwar\OneDrive\Documents\"/>
    </mc:Choice>
  </mc:AlternateContent>
  <xr:revisionPtr revIDLastSave="0" documentId="13_ncr:1_{CE1FDDBC-F2CC-4DE8-99F5-644A841CC1F3}" xr6:coauthVersionLast="47" xr6:coauthVersionMax="47" xr10:uidLastSave="{00000000-0000-0000-0000-000000000000}"/>
  <bookViews>
    <workbookView xWindow="-110" yWindow="-110" windowWidth="19420" windowHeight="11620" activeTab="2" xr2:uid="{9E6E2C04-EC1D-4FA6-B1E6-A00F2F723938}"/>
  </bookViews>
  <sheets>
    <sheet name="LCOE Calculator" sheetId="1" r:id="rId1"/>
    <sheet name="Battery Analysis" sheetId="8" r:id="rId2"/>
    <sheet name="Resource" sheetId="2" r:id="rId3"/>
    <sheet name="Philippines" sheetId="3" r:id="rId4"/>
    <sheet name="Lazard Solar" sheetId="5" r:id="rId5"/>
    <sheet name="Lazard Geothermal" sheetId="7" r:id="rId6"/>
    <sheet name="Carl" sheetId="6" r:id="rId7"/>
  </sheets>
  <calcPr calcId="191029" calcMode="autoNoTable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6" i="1" l="1"/>
  <c r="G26" i="1"/>
  <c r="H26" i="1"/>
  <c r="I26" i="1"/>
  <c r="J26" i="1"/>
  <c r="K26" i="1"/>
  <c r="L26" i="1"/>
  <c r="M26" i="1"/>
  <c r="N26" i="1"/>
  <c r="P26" i="1"/>
  <c r="Q26" i="1"/>
  <c r="R26" i="1"/>
  <c r="S26" i="1"/>
  <c r="E26" i="1"/>
  <c r="R55" i="1"/>
  <c r="R60" i="1"/>
  <c r="Q18" i="1"/>
  <c r="Q14" i="1"/>
  <c r="Q60" i="1" s="1"/>
  <c r="Q11" i="1"/>
  <c r="Q12" i="1" s="1"/>
  <c r="Q39" i="1"/>
  <c r="R39" i="1"/>
  <c r="R47" i="1" s="1"/>
  <c r="R50" i="1" s="1"/>
  <c r="Q43" i="1"/>
  <c r="Q48" i="1" s="1"/>
  <c r="R43" i="1"/>
  <c r="I47" i="1"/>
  <c r="J47" i="1"/>
  <c r="K47" i="1"/>
  <c r="L47" i="1"/>
  <c r="M47" i="1"/>
  <c r="P47" i="1"/>
  <c r="Q47" i="1"/>
  <c r="Q50" i="1" s="1"/>
  <c r="S47" i="1"/>
  <c r="T47" i="1"/>
  <c r="S48" i="1"/>
  <c r="T48" i="1"/>
  <c r="N43" i="1"/>
  <c r="P43" i="1"/>
  <c r="P48" i="1" s="1"/>
  <c r="E12" i="8"/>
  <c r="E13" i="8" s="1"/>
  <c r="E7" i="8"/>
  <c r="E8" i="8" s="1"/>
  <c r="E5" i="8"/>
  <c r="D103" i="1"/>
  <c r="E91" i="1"/>
  <c r="F43" i="1"/>
  <c r="F48" i="1" s="1"/>
  <c r="F18" i="1"/>
  <c r="F14" i="1"/>
  <c r="F37" i="1" s="1"/>
  <c r="F55" i="1" s="1"/>
  <c r="F11" i="1"/>
  <c r="F12" i="1" s="1"/>
  <c r="H17" i="1"/>
  <c r="H18" i="1" s="1"/>
  <c r="H10" i="1"/>
  <c r="H14" i="1" s="1"/>
  <c r="H47" i="1"/>
  <c r="H43" i="1"/>
  <c r="H48" i="1" s="1"/>
  <c r="I43" i="1"/>
  <c r="I53" i="1" s="1"/>
  <c r="J43" i="1"/>
  <c r="J48" i="1" s="1"/>
  <c r="K43" i="1"/>
  <c r="K53" i="1" s="1"/>
  <c r="L43" i="1"/>
  <c r="L48" i="1" s="1"/>
  <c r="M43" i="1"/>
  <c r="M53" i="1" s="1"/>
  <c r="J53" i="1"/>
  <c r="I55" i="1"/>
  <c r="J55" i="1"/>
  <c r="K55" i="1"/>
  <c r="L55" i="1"/>
  <c r="M55" i="1"/>
  <c r="D97" i="1"/>
  <c r="E43" i="1"/>
  <c r="E48" i="1" s="1"/>
  <c r="D75" i="1"/>
  <c r="F75" i="1" s="1"/>
  <c r="G43" i="1"/>
  <c r="G48" i="1" s="1"/>
  <c r="E47" i="1"/>
  <c r="D73" i="1"/>
  <c r="G73" i="1" s="1"/>
  <c r="P14" i="1"/>
  <c r="P60" i="1" s="1"/>
  <c r="N14" i="1"/>
  <c r="N37" i="1" s="1"/>
  <c r="N55" i="1" s="1"/>
  <c r="P18" i="1"/>
  <c r="N18" i="1"/>
  <c r="E14" i="1"/>
  <c r="E37" i="1" s="1"/>
  <c r="E55" i="1" s="1"/>
  <c r="G14" i="1"/>
  <c r="G37" i="1" s="1"/>
  <c r="G55" i="1" s="1"/>
  <c r="F47" i="1"/>
  <c r="G47" i="1"/>
  <c r="E18" i="1"/>
  <c r="D86" i="1" s="1"/>
  <c r="E86" i="1" s="1"/>
  <c r="E88" i="1" s="1"/>
  <c r="P11" i="1"/>
  <c r="P12" i="1" s="1"/>
  <c r="E14" i="6"/>
  <c r="E16" i="6" s="1"/>
  <c r="E17" i="6" s="1"/>
  <c r="E18" i="6" s="1"/>
  <c r="E11" i="6" s="1"/>
  <c r="E11" i="1"/>
  <c r="E12" i="1" s="1"/>
  <c r="G18" i="1"/>
  <c r="R48" i="1" l="1"/>
  <c r="L53" i="1"/>
  <c r="L57" i="1" s="1"/>
  <c r="R53" i="1"/>
  <c r="R57" i="1" s="1"/>
  <c r="R58" i="1" s="1"/>
  <c r="R62" i="1" s="1"/>
  <c r="R63" i="1" s="1"/>
  <c r="K48" i="1"/>
  <c r="Q53" i="1"/>
  <c r="D104" i="1"/>
  <c r="M48" i="1"/>
  <c r="I48" i="1"/>
  <c r="Q37" i="1"/>
  <c r="Q55" i="1" s="1"/>
  <c r="Q57" i="1" s="1"/>
  <c r="Q58" i="1" s="1"/>
  <c r="Q62" i="1" s="1"/>
  <c r="Q63" i="1" s="1"/>
  <c r="E10" i="8"/>
  <c r="E14" i="8" s="1"/>
  <c r="H50" i="1"/>
  <c r="H11" i="1"/>
  <c r="H12" i="1" s="1"/>
  <c r="H65" i="1"/>
  <c r="H60" i="1"/>
  <c r="H37" i="1"/>
  <c r="H66" i="1" s="1"/>
  <c r="H53" i="1"/>
  <c r="K57" i="1"/>
  <c r="M57" i="1"/>
  <c r="I57" i="1"/>
  <c r="J57" i="1"/>
  <c r="G53" i="1"/>
  <c r="G57" i="1" s="1"/>
  <c r="E53" i="1"/>
  <c r="E57" i="1" s="1"/>
  <c r="P53" i="1"/>
  <c r="F53" i="1"/>
  <c r="F57" i="1" s="1"/>
  <c r="E65" i="1"/>
  <c r="G75" i="1"/>
  <c r="G65" i="1"/>
  <c r="F65" i="1"/>
  <c r="F66" i="1"/>
  <c r="E66" i="1"/>
  <c r="G66" i="1"/>
  <c r="F60" i="1"/>
  <c r="CR73" i="1"/>
  <c r="P37" i="1"/>
  <c r="P55" i="1" s="1"/>
  <c r="D82" i="1"/>
  <c r="P50" i="1"/>
  <c r="N60" i="1"/>
  <c r="BL73" i="1"/>
  <c r="E60" i="1"/>
  <c r="AF73" i="1"/>
  <c r="G60" i="1"/>
  <c r="D77" i="1"/>
  <c r="CB73" i="1"/>
  <c r="P73" i="1"/>
  <c r="AV73" i="1"/>
  <c r="CP73" i="1"/>
  <c r="BZ73" i="1"/>
  <c r="BJ73" i="1"/>
  <c r="AT73" i="1"/>
  <c r="AD73" i="1"/>
  <c r="N73" i="1"/>
  <c r="CZ73" i="1"/>
  <c r="CJ73" i="1"/>
  <c r="BT73" i="1"/>
  <c r="BD73" i="1"/>
  <c r="AN73" i="1"/>
  <c r="X73" i="1"/>
  <c r="H73" i="1"/>
  <c r="CX73" i="1"/>
  <c r="CH73" i="1"/>
  <c r="BR73" i="1"/>
  <c r="BB73" i="1"/>
  <c r="AL73" i="1"/>
  <c r="V73" i="1"/>
  <c r="CV73" i="1"/>
  <c r="CN73" i="1"/>
  <c r="CF73" i="1"/>
  <c r="BX73" i="1"/>
  <c r="BP73" i="1"/>
  <c r="BH73" i="1"/>
  <c r="AZ73" i="1"/>
  <c r="AR73" i="1"/>
  <c r="AJ73" i="1"/>
  <c r="AB73" i="1"/>
  <c r="T73" i="1"/>
  <c r="L73" i="1"/>
  <c r="F73" i="1"/>
  <c r="CT73" i="1"/>
  <c r="CL73" i="1"/>
  <c r="CD73" i="1"/>
  <c r="BV73" i="1"/>
  <c r="BN73" i="1"/>
  <c r="BF73" i="1"/>
  <c r="AX73" i="1"/>
  <c r="AP73" i="1"/>
  <c r="AH73" i="1"/>
  <c r="Z73" i="1"/>
  <c r="R73" i="1"/>
  <c r="J73" i="1"/>
  <c r="DA73" i="1"/>
  <c r="CW73" i="1"/>
  <c r="CS73" i="1"/>
  <c r="CO73" i="1"/>
  <c r="CK73" i="1"/>
  <c r="CG73" i="1"/>
  <c r="CC73" i="1"/>
  <c r="BY73" i="1"/>
  <c r="BU73" i="1"/>
  <c r="BQ73" i="1"/>
  <c r="BM73" i="1"/>
  <c r="BI73" i="1"/>
  <c r="BE73" i="1"/>
  <c r="BA73" i="1"/>
  <c r="AW73" i="1"/>
  <c r="AS73" i="1"/>
  <c r="AO73" i="1"/>
  <c r="AK73" i="1"/>
  <c r="AG73" i="1"/>
  <c r="AC73" i="1"/>
  <c r="Y73" i="1"/>
  <c r="U73" i="1"/>
  <c r="Q73" i="1"/>
  <c r="M73" i="1"/>
  <c r="I73" i="1"/>
  <c r="CY73" i="1"/>
  <c r="CU73" i="1"/>
  <c r="CQ73" i="1"/>
  <c r="CM73" i="1"/>
  <c r="CI73" i="1"/>
  <c r="CE73" i="1"/>
  <c r="CA73" i="1"/>
  <c r="BW73" i="1"/>
  <c r="BS73" i="1"/>
  <c r="BO73" i="1"/>
  <c r="BK73" i="1"/>
  <c r="BG73" i="1"/>
  <c r="BC73" i="1"/>
  <c r="AY73" i="1"/>
  <c r="AU73" i="1"/>
  <c r="AQ73" i="1"/>
  <c r="AM73" i="1"/>
  <c r="AI73" i="1"/>
  <c r="AE73" i="1"/>
  <c r="AA73" i="1"/>
  <c r="W73" i="1"/>
  <c r="S73" i="1"/>
  <c r="O73" i="1"/>
  <c r="K73" i="1"/>
  <c r="G50" i="1"/>
  <c r="F50" i="1"/>
  <c r="E50" i="1"/>
  <c r="O42" i="1"/>
  <c r="O39" i="1"/>
  <c r="N39" i="1"/>
  <c r="N47" i="1" s="1"/>
  <c r="O28" i="1"/>
  <c r="O25" i="1"/>
  <c r="O26" i="1" s="1"/>
  <c r="O17" i="1"/>
  <c r="O18" i="1" s="1"/>
  <c r="O47" i="1" l="1"/>
  <c r="O43" i="1"/>
  <c r="O48" i="1" s="1"/>
  <c r="N48" i="1"/>
  <c r="P57" i="1"/>
  <c r="P58" i="1" s="1"/>
  <c r="P62" i="1" s="1"/>
  <c r="P63" i="1" s="1"/>
  <c r="H67" i="1"/>
  <c r="H69" i="1" s="1"/>
  <c r="H55" i="1"/>
  <c r="H57" i="1" s="1"/>
  <c r="H58" i="1" s="1"/>
  <c r="H62" i="1" s="1"/>
  <c r="H63" i="1" s="1"/>
  <c r="O53" i="1"/>
  <c r="E58" i="1"/>
  <c r="E62" i="1" s="1"/>
  <c r="N50" i="1"/>
  <c r="N53" i="1"/>
  <c r="N57" i="1" s="1"/>
  <c r="F82" i="1"/>
  <c r="G67" i="1"/>
  <c r="G69" i="1" s="1"/>
  <c r="F67" i="1"/>
  <c r="F69" i="1" s="1"/>
  <c r="H75" i="1"/>
  <c r="G82" i="1"/>
  <c r="CR77" i="1"/>
  <c r="E67" i="1"/>
  <c r="E69" i="1" s="1"/>
  <c r="G77" i="1"/>
  <c r="AF77" i="1"/>
  <c r="BL77" i="1"/>
  <c r="AM77" i="1"/>
  <c r="BS77" i="1"/>
  <c r="CI77" i="1"/>
  <c r="CY77" i="1"/>
  <c r="U77" i="1"/>
  <c r="AK77" i="1"/>
  <c r="BA77" i="1"/>
  <c r="BQ77" i="1"/>
  <c r="CG77" i="1"/>
  <c r="CW77" i="1"/>
  <c r="Z77" i="1"/>
  <c r="BF77" i="1"/>
  <c r="CL77" i="1"/>
  <c r="T77" i="1"/>
  <c r="AZ77" i="1"/>
  <c r="CF77" i="1"/>
  <c r="AL77" i="1"/>
  <c r="CX77" i="1"/>
  <c r="BD77" i="1"/>
  <c r="N77" i="1"/>
  <c r="BZ77" i="1"/>
  <c r="CB77" i="1"/>
  <c r="K77" i="1"/>
  <c r="AA77" i="1"/>
  <c r="AQ77" i="1"/>
  <c r="BG77" i="1"/>
  <c r="BW77" i="1"/>
  <c r="CM77" i="1"/>
  <c r="I77" i="1"/>
  <c r="Y77" i="1"/>
  <c r="AO77" i="1"/>
  <c r="BE77" i="1"/>
  <c r="BU77" i="1"/>
  <c r="CK77" i="1"/>
  <c r="DA77" i="1"/>
  <c r="AH77" i="1"/>
  <c r="BN77" i="1"/>
  <c r="CT77" i="1"/>
  <c r="AB77" i="1"/>
  <c r="BH77" i="1"/>
  <c r="CN77" i="1"/>
  <c r="BB77" i="1"/>
  <c r="H77" i="1"/>
  <c r="BT77" i="1"/>
  <c r="AD77" i="1"/>
  <c r="CP77" i="1"/>
  <c r="W77" i="1"/>
  <c r="BC77" i="1"/>
  <c r="O77" i="1"/>
  <c r="AE77" i="1"/>
  <c r="AU77" i="1"/>
  <c r="BK77" i="1"/>
  <c r="CA77" i="1"/>
  <c r="CQ77" i="1"/>
  <c r="M77" i="1"/>
  <c r="AC77" i="1"/>
  <c r="AS77" i="1"/>
  <c r="BI77" i="1"/>
  <c r="BY77" i="1"/>
  <c r="CO77" i="1"/>
  <c r="J77" i="1"/>
  <c r="AP77" i="1"/>
  <c r="BV77" i="1"/>
  <c r="F77" i="1"/>
  <c r="AJ77" i="1"/>
  <c r="BP77" i="1"/>
  <c r="CV77" i="1"/>
  <c r="BR77" i="1"/>
  <c r="X77" i="1"/>
  <c r="CJ77" i="1"/>
  <c r="AT77" i="1"/>
  <c r="AV77" i="1"/>
  <c r="S77" i="1"/>
  <c r="AI77" i="1"/>
  <c r="AY77" i="1"/>
  <c r="BO77" i="1"/>
  <c r="CE77" i="1"/>
  <c r="CU77" i="1"/>
  <c r="Q77" i="1"/>
  <c r="AG77" i="1"/>
  <c r="AW77" i="1"/>
  <c r="BM77" i="1"/>
  <c r="CC77" i="1"/>
  <c r="CS77" i="1"/>
  <c r="R77" i="1"/>
  <c r="AX77" i="1"/>
  <c r="CD77" i="1"/>
  <c r="L77" i="1"/>
  <c r="AR77" i="1"/>
  <c r="BX77" i="1"/>
  <c r="V77" i="1"/>
  <c r="CH77" i="1"/>
  <c r="AN77" i="1"/>
  <c r="CZ77" i="1"/>
  <c r="BJ77" i="1"/>
  <c r="P77" i="1"/>
  <c r="O50" i="1"/>
  <c r="E104" i="1" l="1"/>
  <c r="D79" i="1"/>
  <c r="E106" i="1"/>
  <c r="E99" i="1"/>
  <c r="E63" i="1"/>
  <c r="N58" i="1"/>
  <c r="N62" i="1" s="1"/>
  <c r="N63" i="1" s="1"/>
  <c r="E97" i="1"/>
  <c r="I75" i="1"/>
  <c r="I79" i="1" s="1"/>
  <c r="I80" i="1" s="1"/>
  <c r="H82" i="1"/>
  <c r="F79" i="1"/>
  <c r="F80" i="1" s="1"/>
  <c r="G79" i="1"/>
  <c r="G80" i="1" s="1"/>
  <c r="G84" i="1" s="1"/>
  <c r="G88" i="1" s="1"/>
  <c r="H79" i="1"/>
  <c r="H80" i="1" s="1"/>
  <c r="F84" i="1" l="1"/>
  <c r="F88" i="1" s="1"/>
  <c r="H84" i="1"/>
  <c r="H88" i="1" s="1"/>
  <c r="J75" i="1"/>
  <c r="I82" i="1"/>
  <c r="I84" i="1" s="1"/>
  <c r="I88" i="1" s="1"/>
  <c r="K75" i="1" l="1"/>
  <c r="J82" i="1"/>
  <c r="J79" i="1"/>
  <c r="J80" i="1" s="1"/>
  <c r="O10" i="1"/>
  <c r="H8" i="2"/>
  <c r="E8" i="2"/>
  <c r="F3" i="3"/>
  <c r="F3" i="2"/>
  <c r="F8" i="2" s="1"/>
  <c r="J3" i="2"/>
  <c r="G4" i="2"/>
  <c r="G5" i="2" s="1"/>
  <c r="G6" i="2" s="1"/>
  <c r="G11" i="2" s="1"/>
  <c r="G16" i="2"/>
  <c r="G17" i="2" s="1"/>
  <c r="H16" i="2"/>
  <c r="H17" i="2" s="1"/>
  <c r="H5" i="2"/>
  <c r="H6" i="2" s="1"/>
  <c r="H11" i="2" s="1"/>
  <c r="G8" i="2" l="1"/>
  <c r="J84" i="1"/>
  <c r="J88" i="1" s="1"/>
  <c r="L75" i="1"/>
  <c r="K82" i="1"/>
  <c r="K79" i="1"/>
  <c r="K80" i="1" s="1"/>
  <c r="O11" i="1"/>
  <c r="O12" i="1" s="1"/>
  <c r="O14" i="1"/>
  <c r="H19" i="2"/>
  <c r="G19" i="2"/>
  <c r="K84" i="1" l="1"/>
  <c r="K88" i="1" s="1"/>
  <c r="M75" i="1"/>
  <c r="L82" i="1"/>
  <c r="L79" i="1"/>
  <c r="L80" i="1" s="1"/>
  <c r="O60" i="1"/>
  <c r="O37" i="1"/>
  <c r="F28" i="2"/>
  <c r="F16" i="2"/>
  <c r="F17" i="2" s="1"/>
  <c r="L84" i="1" l="1"/>
  <c r="L88" i="1" s="1"/>
  <c r="O55" i="1"/>
  <c r="O57" i="1" s="1"/>
  <c r="O58" i="1" s="1"/>
  <c r="O62" i="1" s="1"/>
  <c r="O63" i="1" s="1"/>
  <c r="N75" i="1"/>
  <c r="M82" i="1"/>
  <c r="M79" i="1"/>
  <c r="M80" i="1" s="1"/>
  <c r="F5" i="2"/>
  <c r="F6" i="2" s="1"/>
  <c r="F11" i="2" s="1"/>
  <c r="F19" i="2" s="1"/>
  <c r="E16" i="2"/>
  <c r="E17" i="2" s="1"/>
  <c r="E5" i="2"/>
  <c r="E6" i="2" s="1"/>
  <c r="E11" i="2" s="1"/>
  <c r="N11" i="1"/>
  <c r="N12" i="1" s="1"/>
  <c r="G11" i="1"/>
  <c r="G12" i="1" s="1"/>
  <c r="M84" i="1" l="1"/>
  <c r="M88" i="1" s="1"/>
  <c r="O75" i="1"/>
  <c r="N82" i="1"/>
  <c r="N79" i="1"/>
  <c r="N80" i="1" s="1"/>
  <c r="E19" i="2"/>
  <c r="F58" i="1"/>
  <c r="G58" i="1"/>
  <c r="N84" i="1" l="1"/>
  <c r="N88" i="1" s="1"/>
  <c r="P75" i="1"/>
  <c r="O82" i="1"/>
  <c r="O79" i="1"/>
  <c r="O80" i="1" s="1"/>
  <c r="G62" i="1"/>
  <c r="G63" i="1" s="1"/>
  <c r="F62" i="1"/>
  <c r="F63" i="1" s="1"/>
  <c r="O84" i="1" l="1"/>
  <c r="O88" i="1" s="1"/>
  <c r="Q75" i="1"/>
  <c r="P82" i="1"/>
  <c r="P79" i="1"/>
  <c r="P80" i="1" s="1"/>
  <c r="P84" i="1" l="1"/>
  <c r="P88" i="1" s="1"/>
  <c r="R75" i="1"/>
  <c r="Q82" i="1"/>
  <c r="Q79" i="1"/>
  <c r="Q80" i="1" s="1"/>
  <c r="Q84" i="1" l="1"/>
  <c r="Q88" i="1" s="1"/>
  <c r="S75" i="1"/>
  <c r="R82" i="1"/>
  <c r="R79" i="1"/>
  <c r="R80" i="1" s="1"/>
  <c r="R84" i="1" s="1"/>
  <c r="R88" i="1" s="1"/>
  <c r="T75" i="1" l="1"/>
  <c r="S82" i="1"/>
  <c r="S79" i="1"/>
  <c r="S80" i="1" s="1"/>
  <c r="S84" i="1" l="1"/>
  <c r="S88" i="1" s="1"/>
  <c r="U75" i="1"/>
  <c r="T82" i="1"/>
  <c r="T79" i="1"/>
  <c r="T80" i="1" s="1"/>
  <c r="T84" i="1" l="1"/>
  <c r="T88" i="1" s="1"/>
  <c r="V75" i="1"/>
  <c r="U82" i="1"/>
  <c r="U79" i="1"/>
  <c r="U80" i="1" s="1"/>
  <c r="U84" i="1" s="1"/>
  <c r="U88" i="1" s="1"/>
  <c r="W75" i="1" l="1"/>
  <c r="V82" i="1"/>
  <c r="V79" i="1"/>
  <c r="V80" i="1" s="1"/>
  <c r="V84" i="1" l="1"/>
  <c r="V88" i="1" s="1"/>
  <c r="X75" i="1"/>
  <c r="W82" i="1"/>
  <c r="W79" i="1"/>
  <c r="W80" i="1" s="1"/>
  <c r="W84" i="1" l="1"/>
  <c r="W88" i="1" s="1"/>
  <c r="Y75" i="1"/>
  <c r="X82" i="1"/>
  <c r="X79" i="1"/>
  <c r="X80" i="1" s="1"/>
  <c r="X84" i="1" l="1"/>
  <c r="X88" i="1" s="1"/>
  <c r="Z75" i="1"/>
  <c r="Y82" i="1"/>
  <c r="Y79" i="1"/>
  <c r="Y80" i="1" s="1"/>
  <c r="Y84" i="1" s="1"/>
  <c r="Y88" i="1" s="1"/>
  <c r="AA75" i="1" l="1"/>
  <c r="Z82" i="1"/>
  <c r="Z79" i="1"/>
  <c r="Z80" i="1" s="1"/>
  <c r="Z84" i="1" l="1"/>
  <c r="Z88" i="1" s="1"/>
  <c r="AB75" i="1"/>
  <c r="AA82" i="1"/>
  <c r="AA79" i="1"/>
  <c r="AA80" i="1" s="1"/>
  <c r="AA84" i="1" l="1"/>
  <c r="AA88" i="1" s="1"/>
  <c r="AC75" i="1"/>
  <c r="AB82" i="1"/>
  <c r="AB79" i="1"/>
  <c r="AB80" i="1" s="1"/>
  <c r="AB84" i="1" l="1"/>
  <c r="AB88" i="1" s="1"/>
  <c r="AD75" i="1"/>
  <c r="AC82" i="1"/>
  <c r="AC79" i="1"/>
  <c r="AC80" i="1" s="1"/>
  <c r="AC84" i="1" l="1"/>
  <c r="AC88" i="1" s="1"/>
  <c r="AE75" i="1"/>
  <c r="AD82" i="1"/>
  <c r="AD79" i="1"/>
  <c r="AD80" i="1" s="1"/>
  <c r="AD84" i="1" s="1"/>
  <c r="AD88" i="1" s="1"/>
  <c r="AF75" i="1" l="1"/>
  <c r="AE82" i="1"/>
  <c r="AE79" i="1"/>
  <c r="AE80" i="1" s="1"/>
  <c r="AE84" i="1" l="1"/>
  <c r="AE88" i="1" s="1"/>
  <c r="AG75" i="1"/>
  <c r="AF82" i="1"/>
  <c r="AF79" i="1"/>
  <c r="AF80" i="1" s="1"/>
  <c r="AF84" i="1" l="1"/>
  <c r="AF88" i="1" s="1"/>
  <c r="AH75" i="1"/>
  <c r="AG82" i="1"/>
  <c r="AG79" i="1"/>
  <c r="AG80" i="1" s="1"/>
  <c r="AG84" i="1" l="1"/>
  <c r="AG88" i="1" s="1"/>
  <c r="AI75" i="1"/>
  <c r="AH82" i="1"/>
  <c r="AH79" i="1"/>
  <c r="AH80" i="1" s="1"/>
  <c r="AH84" i="1" l="1"/>
  <c r="AH88" i="1" s="1"/>
  <c r="AJ75" i="1"/>
  <c r="AI82" i="1"/>
  <c r="AI79" i="1"/>
  <c r="AI80" i="1" s="1"/>
  <c r="AI84" i="1" l="1"/>
  <c r="AI88" i="1" s="1"/>
  <c r="AK75" i="1"/>
  <c r="AJ82" i="1"/>
  <c r="AJ79" i="1"/>
  <c r="AJ80" i="1" s="1"/>
  <c r="AJ84" i="1" l="1"/>
  <c r="AJ88" i="1" s="1"/>
  <c r="AL75" i="1"/>
  <c r="AK82" i="1"/>
  <c r="AK79" i="1"/>
  <c r="AK80" i="1" s="1"/>
  <c r="AK84" i="1" s="1"/>
  <c r="AK88" i="1" s="1"/>
  <c r="AM75" i="1" l="1"/>
  <c r="AL82" i="1"/>
  <c r="AL79" i="1"/>
  <c r="AL80" i="1" s="1"/>
  <c r="AL84" i="1" l="1"/>
  <c r="AL88" i="1" s="1"/>
  <c r="AN75" i="1"/>
  <c r="AM82" i="1"/>
  <c r="AM79" i="1"/>
  <c r="AM80" i="1" s="1"/>
  <c r="AM84" i="1" l="1"/>
  <c r="AM88" i="1" s="1"/>
  <c r="AO75" i="1"/>
  <c r="AN82" i="1"/>
  <c r="AN79" i="1"/>
  <c r="AN80" i="1" s="1"/>
  <c r="AN84" i="1" s="1"/>
  <c r="AN88" i="1" s="1"/>
  <c r="AP75" i="1" l="1"/>
  <c r="AO82" i="1"/>
  <c r="AO79" i="1"/>
  <c r="AO80" i="1" s="1"/>
  <c r="AO84" i="1" l="1"/>
  <c r="AO88" i="1" s="1"/>
  <c r="AQ75" i="1"/>
  <c r="AP82" i="1"/>
  <c r="AP79" i="1"/>
  <c r="AP80" i="1" s="1"/>
  <c r="AP84" i="1" l="1"/>
  <c r="AP88" i="1" s="1"/>
  <c r="AR75" i="1"/>
  <c r="AQ82" i="1"/>
  <c r="AQ79" i="1"/>
  <c r="AQ80" i="1" s="1"/>
  <c r="AQ84" i="1" l="1"/>
  <c r="AQ88" i="1" s="1"/>
  <c r="AS75" i="1"/>
  <c r="AR82" i="1"/>
  <c r="AR79" i="1"/>
  <c r="AR80" i="1" s="1"/>
  <c r="AR84" i="1" l="1"/>
  <c r="AR88" i="1" s="1"/>
  <c r="AT75" i="1"/>
  <c r="AS82" i="1"/>
  <c r="AS79" i="1"/>
  <c r="AS80" i="1" s="1"/>
  <c r="AS84" i="1" l="1"/>
  <c r="AS88" i="1" s="1"/>
  <c r="AU75" i="1"/>
  <c r="AT82" i="1"/>
  <c r="AT79" i="1"/>
  <c r="AT80" i="1" s="1"/>
  <c r="AT84" i="1" l="1"/>
  <c r="AT88" i="1" s="1"/>
  <c r="AV75" i="1"/>
  <c r="AU82" i="1"/>
  <c r="AU79" i="1"/>
  <c r="AU80" i="1" s="1"/>
  <c r="AU84" i="1" l="1"/>
  <c r="AU88" i="1" s="1"/>
  <c r="AW75" i="1"/>
  <c r="AV82" i="1"/>
  <c r="AV79" i="1"/>
  <c r="AV80" i="1" s="1"/>
  <c r="AV84" i="1" l="1"/>
  <c r="AV88" i="1" s="1"/>
  <c r="AX75" i="1"/>
  <c r="AW82" i="1"/>
  <c r="AW79" i="1"/>
  <c r="AW80" i="1" s="1"/>
  <c r="AW84" i="1" l="1"/>
  <c r="AW88" i="1" s="1"/>
  <c r="AY75" i="1"/>
  <c r="AX82" i="1"/>
  <c r="AX79" i="1"/>
  <c r="AX80" i="1" s="1"/>
  <c r="AX84" i="1" s="1"/>
  <c r="AX88" i="1" s="1"/>
  <c r="AZ75" i="1" l="1"/>
  <c r="AY82" i="1"/>
  <c r="AY79" i="1"/>
  <c r="AY80" i="1" s="1"/>
  <c r="AY84" i="1" l="1"/>
  <c r="AY88" i="1" s="1"/>
  <c r="BA75" i="1"/>
  <c r="AZ82" i="1"/>
  <c r="AZ79" i="1"/>
  <c r="AZ80" i="1" s="1"/>
  <c r="AZ84" i="1" l="1"/>
  <c r="AZ88" i="1" s="1"/>
  <c r="BB75" i="1"/>
  <c r="BA82" i="1"/>
  <c r="BA79" i="1"/>
  <c r="BA80" i="1" s="1"/>
  <c r="BA84" i="1" l="1"/>
  <c r="BA88" i="1" s="1"/>
  <c r="BC75" i="1"/>
  <c r="BB82" i="1"/>
  <c r="BB79" i="1"/>
  <c r="BB80" i="1" s="1"/>
  <c r="BB84" i="1" l="1"/>
  <c r="BB88" i="1" s="1"/>
  <c r="BD75" i="1"/>
  <c r="BC82" i="1"/>
  <c r="BC79" i="1"/>
  <c r="BC80" i="1" s="1"/>
  <c r="BC84" i="1" l="1"/>
  <c r="BC88" i="1" s="1"/>
  <c r="BE75" i="1"/>
  <c r="BD82" i="1"/>
  <c r="BD79" i="1"/>
  <c r="BD80" i="1" s="1"/>
  <c r="BD84" i="1" l="1"/>
  <c r="BD88" i="1" s="1"/>
  <c r="BF75" i="1"/>
  <c r="BE82" i="1"/>
  <c r="BE79" i="1"/>
  <c r="BE80" i="1" s="1"/>
  <c r="BE84" i="1" l="1"/>
  <c r="BE88" i="1" s="1"/>
  <c r="BG75" i="1"/>
  <c r="BF82" i="1"/>
  <c r="BF79" i="1"/>
  <c r="BF80" i="1" s="1"/>
  <c r="BF84" i="1" l="1"/>
  <c r="BF88" i="1" s="1"/>
  <c r="BH75" i="1"/>
  <c r="BG82" i="1"/>
  <c r="BG79" i="1"/>
  <c r="BG80" i="1" s="1"/>
  <c r="BG84" i="1" l="1"/>
  <c r="BG88" i="1" s="1"/>
  <c r="BI75" i="1"/>
  <c r="BH82" i="1"/>
  <c r="BH79" i="1"/>
  <c r="BH80" i="1" s="1"/>
  <c r="BH84" i="1" l="1"/>
  <c r="BH88" i="1" s="1"/>
  <c r="BJ75" i="1"/>
  <c r="BI82" i="1"/>
  <c r="BI79" i="1"/>
  <c r="BI80" i="1" s="1"/>
  <c r="BI84" i="1" l="1"/>
  <c r="BI88" i="1" s="1"/>
  <c r="BK75" i="1"/>
  <c r="BJ82" i="1"/>
  <c r="BJ79" i="1"/>
  <c r="BJ80" i="1" s="1"/>
  <c r="BJ84" i="1" l="1"/>
  <c r="BJ88" i="1" s="1"/>
  <c r="BL75" i="1"/>
  <c r="BK82" i="1"/>
  <c r="BK79" i="1"/>
  <c r="BK80" i="1" s="1"/>
  <c r="BK84" i="1" l="1"/>
  <c r="BK88" i="1" s="1"/>
  <c r="BM75" i="1"/>
  <c r="BL82" i="1"/>
  <c r="BL79" i="1"/>
  <c r="BL80" i="1" s="1"/>
  <c r="BL84" i="1" l="1"/>
  <c r="BL88" i="1" s="1"/>
  <c r="BN75" i="1"/>
  <c r="BM82" i="1"/>
  <c r="BM79" i="1"/>
  <c r="BM80" i="1" s="1"/>
  <c r="BM84" i="1" l="1"/>
  <c r="BM88" i="1" s="1"/>
  <c r="BO75" i="1"/>
  <c r="BN82" i="1"/>
  <c r="BN79" i="1"/>
  <c r="BN80" i="1" s="1"/>
  <c r="BN84" i="1" l="1"/>
  <c r="BN88" i="1" s="1"/>
  <c r="BP75" i="1"/>
  <c r="BO82" i="1"/>
  <c r="BO79" i="1"/>
  <c r="BO80" i="1" s="1"/>
  <c r="BO84" i="1" l="1"/>
  <c r="BO88" i="1" s="1"/>
  <c r="BQ75" i="1"/>
  <c r="BP82" i="1"/>
  <c r="BP79" i="1"/>
  <c r="BP80" i="1" s="1"/>
  <c r="BP84" i="1" l="1"/>
  <c r="BP88" i="1" s="1"/>
  <c r="BR75" i="1"/>
  <c r="BQ82" i="1"/>
  <c r="BQ79" i="1"/>
  <c r="BQ80" i="1" s="1"/>
  <c r="BQ84" i="1" l="1"/>
  <c r="BQ88" i="1" s="1"/>
  <c r="BS75" i="1"/>
  <c r="BR82" i="1"/>
  <c r="BR79" i="1"/>
  <c r="BR80" i="1" s="1"/>
  <c r="BR84" i="1" l="1"/>
  <c r="BR88" i="1" s="1"/>
  <c r="BT75" i="1"/>
  <c r="BS82" i="1"/>
  <c r="BS79" i="1"/>
  <c r="BS80" i="1" s="1"/>
  <c r="BS84" i="1" l="1"/>
  <c r="BS88" i="1" s="1"/>
  <c r="BU75" i="1"/>
  <c r="BT82" i="1"/>
  <c r="BT79" i="1"/>
  <c r="BT80" i="1" s="1"/>
  <c r="BT84" i="1" l="1"/>
  <c r="BT88" i="1" s="1"/>
  <c r="BV75" i="1"/>
  <c r="BU82" i="1"/>
  <c r="BU79" i="1"/>
  <c r="BU80" i="1" s="1"/>
  <c r="BU84" i="1" s="1"/>
  <c r="BU88" i="1" s="1"/>
  <c r="BW75" i="1" l="1"/>
  <c r="BV82" i="1"/>
  <c r="BV79" i="1"/>
  <c r="BV80" i="1" s="1"/>
  <c r="BV84" i="1" l="1"/>
  <c r="BV88" i="1" s="1"/>
  <c r="BX75" i="1"/>
  <c r="BW82" i="1"/>
  <c r="BW79" i="1"/>
  <c r="BW80" i="1" s="1"/>
  <c r="BW84" i="1" l="1"/>
  <c r="BW88" i="1" s="1"/>
  <c r="BY75" i="1"/>
  <c r="BX82" i="1"/>
  <c r="BX79" i="1"/>
  <c r="BX80" i="1" s="1"/>
  <c r="BX84" i="1" l="1"/>
  <c r="BX88" i="1" s="1"/>
  <c r="BZ75" i="1"/>
  <c r="BY82" i="1"/>
  <c r="BY79" i="1"/>
  <c r="BY80" i="1" s="1"/>
  <c r="BY84" i="1" l="1"/>
  <c r="BY88" i="1" s="1"/>
  <c r="CA75" i="1"/>
  <c r="BZ82" i="1"/>
  <c r="BZ79" i="1"/>
  <c r="BZ80" i="1" s="1"/>
  <c r="BZ84" i="1" l="1"/>
  <c r="BZ88" i="1" s="1"/>
  <c r="CB75" i="1"/>
  <c r="CA82" i="1"/>
  <c r="CA79" i="1"/>
  <c r="CA80" i="1" s="1"/>
  <c r="CA84" i="1" l="1"/>
  <c r="CA88" i="1" s="1"/>
  <c r="CC75" i="1"/>
  <c r="CB82" i="1"/>
  <c r="CB79" i="1"/>
  <c r="CB80" i="1" s="1"/>
  <c r="CB84" i="1" l="1"/>
  <c r="CB88" i="1" s="1"/>
  <c r="CD75" i="1"/>
  <c r="CC82" i="1"/>
  <c r="CC79" i="1"/>
  <c r="CC80" i="1" s="1"/>
  <c r="CC84" i="1" l="1"/>
  <c r="CC88" i="1" s="1"/>
  <c r="CE75" i="1"/>
  <c r="CD82" i="1"/>
  <c r="CD79" i="1"/>
  <c r="CD80" i="1" s="1"/>
  <c r="CD84" i="1" l="1"/>
  <c r="CD88" i="1" s="1"/>
  <c r="CF75" i="1"/>
  <c r="CE82" i="1"/>
  <c r="CE79" i="1"/>
  <c r="CE80" i="1" s="1"/>
  <c r="CE84" i="1" l="1"/>
  <c r="CE88" i="1" s="1"/>
  <c r="CG75" i="1"/>
  <c r="CF82" i="1"/>
  <c r="CF79" i="1"/>
  <c r="CF80" i="1" s="1"/>
  <c r="CF84" i="1" l="1"/>
  <c r="CF88" i="1" s="1"/>
  <c r="CH75" i="1"/>
  <c r="CG82" i="1"/>
  <c r="CG79" i="1"/>
  <c r="CG80" i="1" s="1"/>
  <c r="CG84" i="1" l="1"/>
  <c r="CG88" i="1" s="1"/>
  <c r="CI75" i="1"/>
  <c r="CH82" i="1"/>
  <c r="CH79" i="1"/>
  <c r="CH80" i="1" s="1"/>
  <c r="CH84" i="1" l="1"/>
  <c r="CH88" i="1" s="1"/>
  <c r="CJ75" i="1"/>
  <c r="CI82" i="1"/>
  <c r="CI79" i="1"/>
  <c r="CI80" i="1" s="1"/>
  <c r="CI84" i="1" l="1"/>
  <c r="CI88" i="1" s="1"/>
  <c r="CK75" i="1"/>
  <c r="CJ82" i="1"/>
  <c r="CJ79" i="1"/>
  <c r="CJ80" i="1" s="1"/>
  <c r="CJ84" i="1" l="1"/>
  <c r="CJ88" i="1" s="1"/>
  <c r="CL75" i="1"/>
  <c r="CK82" i="1"/>
  <c r="CK79" i="1"/>
  <c r="CK80" i="1" s="1"/>
  <c r="CK84" i="1" l="1"/>
  <c r="CK88" i="1" s="1"/>
  <c r="CM75" i="1"/>
  <c r="CL82" i="1"/>
  <c r="CL79" i="1"/>
  <c r="CL80" i="1" s="1"/>
  <c r="CL84" i="1" l="1"/>
  <c r="CL88" i="1" s="1"/>
  <c r="CN75" i="1"/>
  <c r="CM82" i="1"/>
  <c r="CM79" i="1"/>
  <c r="CM80" i="1" s="1"/>
  <c r="CM84" i="1" l="1"/>
  <c r="CM88" i="1" s="1"/>
  <c r="CO75" i="1"/>
  <c r="CN82" i="1"/>
  <c r="CN79" i="1"/>
  <c r="CN80" i="1" s="1"/>
  <c r="CN84" i="1" l="1"/>
  <c r="CN88" i="1" s="1"/>
  <c r="CP75" i="1"/>
  <c r="CO82" i="1"/>
  <c r="CO79" i="1"/>
  <c r="CO80" i="1" s="1"/>
  <c r="CO84" i="1" l="1"/>
  <c r="CO88" i="1" s="1"/>
  <c r="CQ75" i="1"/>
  <c r="CP82" i="1"/>
  <c r="CP79" i="1"/>
  <c r="CP80" i="1" s="1"/>
  <c r="CP84" i="1" l="1"/>
  <c r="CP88" i="1" s="1"/>
  <c r="CR75" i="1"/>
  <c r="CQ82" i="1"/>
  <c r="CQ79" i="1"/>
  <c r="CQ80" i="1" s="1"/>
  <c r="CQ84" i="1" l="1"/>
  <c r="CQ88" i="1" s="1"/>
  <c r="CS75" i="1"/>
  <c r="CR82" i="1"/>
  <c r="CR79" i="1"/>
  <c r="CR80" i="1" s="1"/>
  <c r="CR84" i="1" l="1"/>
  <c r="CR88" i="1" s="1"/>
  <c r="CT75" i="1"/>
  <c r="CS82" i="1"/>
  <c r="CS79" i="1"/>
  <c r="CS80" i="1" s="1"/>
  <c r="CS84" i="1" l="1"/>
  <c r="CS88" i="1" s="1"/>
  <c r="CU75" i="1"/>
  <c r="CT82" i="1"/>
  <c r="CT79" i="1"/>
  <c r="CT80" i="1" s="1"/>
  <c r="CT84" i="1" l="1"/>
  <c r="CT88" i="1" s="1"/>
  <c r="CV75" i="1"/>
  <c r="CU82" i="1"/>
  <c r="CU79" i="1"/>
  <c r="CU80" i="1" s="1"/>
  <c r="CU84" i="1" l="1"/>
  <c r="CU88" i="1" s="1"/>
  <c r="CW75" i="1"/>
  <c r="CV82" i="1"/>
  <c r="CV79" i="1"/>
  <c r="CV80" i="1" s="1"/>
  <c r="CV84" i="1" l="1"/>
  <c r="CV88" i="1" s="1"/>
  <c r="CX75" i="1"/>
  <c r="CW82" i="1"/>
  <c r="CW79" i="1"/>
  <c r="CW80" i="1" s="1"/>
  <c r="CW84" i="1" l="1"/>
  <c r="CW88" i="1" s="1"/>
  <c r="CY75" i="1"/>
  <c r="CX82" i="1"/>
  <c r="CX79" i="1"/>
  <c r="CX80" i="1" s="1"/>
  <c r="CX84" i="1" l="1"/>
  <c r="CX88" i="1" s="1"/>
  <c r="CZ75" i="1"/>
  <c r="CY82" i="1"/>
  <c r="CY79" i="1"/>
  <c r="CY80" i="1" s="1"/>
  <c r="CY84" i="1" l="1"/>
  <c r="CY88" i="1" s="1"/>
  <c r="DA75" i="1"/>
  <c r="CZ82" i="1"/>
  <c r="CZ79" i="1"/>
  <c r="CZ80" i="1" s="1"/>
  <c r="CZ84" i="1" l="1"/>
  <c r="CZ88" i="1" s="1"/>
  <c r="DA82" i="1"/>
  <c r="DA79" i="1"/>
  <c r="DA80" i="1" s="1"/>
  <c r="DA84" i="1" l="1"/>
  <c r="DA88" i="1" s="1"/>
  <c r="E90" i="1" s="1"/>
  <c r="E92" i="1" s="1"/>
  <c r="E103" i="1"/>
  <c r="E105" i="1" s="1"/>
  <c r="E107" i="1" s="1"/>
  <c r="D96" i="1" l="1"/>
  <c r="E96" i="1" s="1"/>
  <c r="E98" i="1" s="1"/>
  <c r="E100" i="1" s="1"/>
</calcChain>
</file>

<file path=xl/sharedStrings.xml><?xml version="1.0" encoding="utf-8"?>
<sst xmlns="http://schemas.openxmlformats.org/spreadsheetml/2006/main" count="238" uniqueCount="163">
  <si>
    <t>Capital Cost</t>
  </si>
  <si>
    <t>USD/kWp</t>
  </si>
  <si>
    <t>USD/kW-yr</t>
  </si>
  <si>
    <t>Production</t>
  </si>
  <si>
    <t>Cap Factor</t>
  </si>
  <si>
    <t>kWh/kWp</t>
  </si>
  <si>
    <t>Life</t>
  </si>
  <si>
    <t>Years</t>
  </si>
  <si>
    <t>% p.a.</t>
  </si>
  <si>
    <t>Plus Operating Cost</t>
  </si>
  <si>
    <t>Total Cost</t>
  </si>
  <si>
    <t>USD/MWH</t>
  </si>
  <si>
    <t>Cost/kWh</t>
  </si>
  <si>
    <t>Cents/kWh</t>
  </si>
  <si>
    <t>LOE Drivers</t>
  </si>
  <si>
    <t>LCOE Calculation</t>
  </si>
  <si>
    <t>Financial Model</t>
  </si>
  <si>
    <t>Time Line</t>
  </si>
  <si>
    <t>Lazard</t>
  </si>
  <si>
    <t>Silicon</t>
  </si>
  <si>
    <t>Geothermal</t>
  </si>
  <si>
    <t>Fixed Operating Cost</t>
  </si>
  <si>
    <t>Variable Cost</t>
  </si>
  <si>
    <t>Solar plus</t>
  </si>
  <si>
    <t>Battery</t>
  </si>
  <si>
    <t>In Plane Radiation</t>
  </si>
  <si>
    <t>w/m2</t>
  </si>
  <si>
    <t>annual kWh/m2</t>
  </si>
  <si>
    <t>Hourly Radiation</t>
  </si>
  <si>
    <t>Hourly kWh/m2</t>
  </si>
  <si>
    <t>Hourly w/m2</t>
  </si>
  <si>
    <t>STC - Max</t>
  </si>
  <si>
    <t>%</t>
  </si>
  <si>
    <t>Capacity</t>
  </si>
  <si>
    <t>kWp</t>
  </si>
  <si>
    <t>Energy to Grid</t>
  </si>
  <si>
    <t>kWh- annual</t>
  </si>
  <si>
    <t>Average Energy</t>
  </si>
  <si>
    <t>kWh - 1 hr</t>
  </si>
  <si>
    <t>Final Cap Factor</t>
  </si>
  <si>
    <t>Performance Ratio</t>
  </si>
  <si>
    <t>Tracking</t>
  </si>
  <si>
    <t>Global Horizontal</t>
  </si>
  <si>
    <t>Helioscope</t>
  </si>
  <si>
    <t>PV Syst</t>
  </si>
  <si>
    <t>World Bank</t>
  </si>
  <si>
    <t>PVWatts</t>
  </si>
  <si>
    <t>PV GIS No Tracking</t>
  </si>
  <si>
    <t>PV GIS Tracking</t>
  </si>
  <si>
    <t>Capacity Factor</t>
  </si>
  <si>
    <t>Capacity Factor from Resource</t>
  </si>
  <si>
    <t>Solar and</t>
  </si>
  <si>
    <t>Percent</t>
  </si>
  <si>
    <t>Versus Global</t>
  </si>
  <si>
    <t xml:space="preserve">Capacity </t>
  </si>
  <si>
    <t>Low Cost</t>
  </si>
  <si>
    <t>Solar</t>
  </si>
  <si>
    <t xml:space="preserve">Solar for </t>
  </si>
  <si>
    <t>Charge</t>
  </si>
  <si>
    <t>Losses</t>
  </si>
  <si>
    <t>Battery Cost</t>
  </si>
  <si>
    <t>Battery Capacity</t>
  </si>
  <si>
    <t>Total Up-front Cost</t>
  </si>
  <si>
    <t xml:space="preserve">USD  </t>
  </si>
  <si>
    <t xml:space="preserve">RooftopResidential </t>
  </si>
  <si>
    <t>RooftopC&amp;I</t>
  </si>
  <si>
    <t>Community</t>
  </si>
  <si>
    <t>Utility</t>
  </si>
  <si>
    <t>Scale</t>
  </si>
  <si>
    <t>Crystalline</t>
  </si>
  <si>
    <t>Thin Film</t>
  </si>
  <si>
    <t>Net Facility Output MW</t>
  </si>
  <si>
    <t>EPC Cost /kW</t>
  </si>
  <si>
    <t>Capital Cost During Construction /kW</t>
  </si>
  <si>
    <t>Total Capital Cost /kW</t>
  </si>
  <si>
    <t>Fixed O&amp;M /kW yr</t>
  </si>
  <si>
    <t>Variable O&amp;M /MWh</t>
  </si>
  <si>
    <t>Heat Rate Btu/kWh</t>
  </si>
  <si>
    <t>Fuel Price /MMBtu</t>
  </si>
  <si>
    <t>Construction Time Months</t>
  </si>
  <si>
    <t>Facility Life Years</t>
  </si>
  <si>
    <t>CO Emissions lb/MWh</t>
  </si>
  <si>
    <t>Levelized Cost of Energy /MWh</t>
  </si>
  <si>
    <t xml:space="preserve">Solar </t>
  </si>
  <si>
    <t>Thermal</t>
  </si>
  <si>
    <t>WindOnshore</t>
  </si>
  <si>
    <t>WindOffshore</t>
  </si>
  <si>
    <t>Low</t>
  </si>
  <si>
    <t>High</t>
  </si>
  <si>
    <t>Battery Up-Front Capital</t>
  </si>
  <si>
    <t>Round Trip Efficiency</t>
  </si>
  <si>
    <t>Hydro</t>
  </si>
  <si>
    <t>Analysis</t>
  </si>
  <si>
    <t>Heat Rate</t>
  </si>
  <si>
    <t>Fuel Price</t>
  </si>
  <si>
    <t>USD/kWh</t>
  </si>
  <si>
    <t>kWh</t>
  </si>
  <si>
    <t>Hours</t>
  </si>
  <si>
    <t>Annual Yield in Hours</t>
  </si>
  <si>
    <t>Production per Day</t>
  </si>
  <si>
    <t>MW</t>
  </si>
  <si>
    <t>GWH</t>
  </si>
  <si>
    <t>USD</t>
  </si>
  <si>
    <t>USD/kW</t>
  </si>
  <si>
    <t>Cap Fac</t>
  </si>
  <si>
    <t>Op Hrs</t>
  </si>
  <si>
    <t>GW</t>
  </si>
  <si>
    <t>kW</t>
  </si>
  <si>
    <t>PHP</t>
  </si>
  <si>
    <t>Assets</t>
  </si>
  <si>
    <t>O&amp;M</t>
  </si>
  <si>
    <t>USD/MMBTU</t>
  </si>
  <si>
    <t>Fuel Cost</t>
  </si>
  <si>
    <t>MMBTU/MWH</t>
  </si>
  <si>
    <t>LCOE</t>
  </si>
  <si>
    <t>Total Operating Cost</t>
  </si>
  <si>
    <t>Total Generation</t>
  </si>
  <si>
    <t xml:space="preserve">kWh </t>
  </si>
  <si>
    <t>Capital Recovery</t>
  </si>
  <si>
    <t>Generation</t>
  </si>
  <si>
    <t>Flag for Operation</t>
  </si>
  <si>
    <t>Generation kWh</t>
  </si>
  <si>
    <t>Price of Power (USD/kWh)</t>
  </si>
  <si>
    <t>Operating Cost</t>
  </si>
  <si>
    <t>EBITDA</t>
  </si>
  <si>
    <t>Capital Expenditues</t>
  </si>
  <si>
    <t>Revenues (USD)</t>
  </si>
  <si>
    <t>Free Cash Flow</t>
  </si>
  <si>
    <t>Project IRR</t>
  </si>
  <si>
    <t>Test</t>
  </si>
  <si>
    <t>Inflation Rate</t>
  </si>
  <si>
    <t>Target Project IRR Nominal</t>
  </si>
  <si>
    <t>Real IRR</t>
  </si>
  <si>
    <t>Nominal PMT</t>
  </si>
  <si>
    <t>Real PMT</t>
  </si>
  <si>
    <t>Real Capital Recovery</t>
  </si>
  <si>
    <t>Real LCOE</t>
  </si>
  <si>
    <t>Inflation Index</t>
  </si>
  <si>
    <t>NPV of Revenues</t>
  </si>
  <si>
    <t>NPV of Generation</t>
  </si>
  <si>
    <t>Operating Cost Factor</t>
  </si>
  <si>
    <t>Real Operating Cost</t>
  </si>
  <si>
    <t>Nominal Operating Cost Applied</t>
  </si>
  <si>
    <t>Nominal LCOE</t>
  </si>
  <si>
    <t>Input Project IRR</t>
  </si>
  <si>
    <t>LOCE with other Formulas</t>
  </si>
  <si>
    <t>LCOE Real Verification</t>
  </si>
  <si>
    <t>NPV of Generation Using Real Rate</t>
  </si>
  <si>
    <t>Real LCOE Computed with PMT</t>
  </si>
  <si>
    <t>Flag</t>
  </si>
  <si>
    <t>LCOE with Up-front Cost</t>
  </si>
  <si>
    <t>Target Capacity Factor</t>
  </si>
  <si>
    <t>Solar Capacity Factor</t>
  </si>
  <si>
    <t>Added Hours</t>
  </si>
  <si>
    <t>Solar Capacity</t>
  </si>
  <si>
    <t xml:space="preserve">USD </t>
  </si>
  <si>
    <t>NGCC</t>
  </si>
  <si>
    <t>Carbon Production</t>
  </si>
  <si>
    <t>Tonne/MWH</t>
  </si>
  <si>
    <t>Coal</t>
  </si>
  <si>
    <t>Carbon Cost</t>
  </si>
  <si>
    <t>Total Fuel Cost</t>
  </si>
  <si>
    <t>Total Fixed Operating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</si>
</sst>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3" formatCode="_(* #,##0.00_);_(* \(#,##0.00\);_(* &quot;-&quot;??_);_(@_)"/>
    <numFmt numFmtId="164" formatCode="_-* #,##0.00_-;_(* \(#,##0.00\);_-* &quot;-&quot;??_-;_-@_-"/>
    <numFmt numFmtId="165" formatCode="#,###.00"/>
    <numFmt numFmtId="166" formatCode="_(* #,##0_);_(* \(#,##0\);_(* &quot;-&quot;??_);_(@_)"/>
    <numFmt numFmtId="167" formatCode="_(* #,##0.000_);_(* \(#,##0.000\);_(* &quot;-&quot;??_);_(@_)"/>
    <numFmt numFmtId="168" formatCode="_-* #,##0.0000_-;_(* \(#,##0.0000\)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9" fontId="0" fillId="0" borderId="0" xfId="0" applyNumberFormat="1"/>
    <xf numFmtId="4" fontId="0" fillId="0" borderId="0" xfId="0" applyNumberFormat="1"/>
    <xf numFmtId="10" fontId="0" fillId="0" borderId="0" xfId="0" applyNumberFormat="1"/>
    <xf numFmtId="0" fontId="3" fillId="2" borderId="0" xfId="0" applyFont="1" applyFill="1"/>
    <xf numFmtId="164" fontId="0" fillId="0" borderId="0" xfId="1" applyNumberFormat="1" applyFont="1"/>
    <xf numFmtId="43" fontId="0" fillId="0" borderId="0" xfId="0" applyNumberFormat="1"/>
    <xf numFmtId="0" fontId="0" fillId="0" borderId="1" xfId="0" applyBorder="1"/>
    <xf numFmtId="10" fontId="0" fillId="0" borderId="1" xfId="0" applyNumberFormat="1" applyBorder="1"/>
    <xf numFmtId="164" fontId="0" fillId="0" borderId="0" xfId="0" applyNumberFormat="1"/>
    <xf numFmtId="0" fontId="0" fillId="0" borderId="0" xfId="0" applyAlignment="1">
      <alignment horizontal="center" wrapText="1"/>
    </xf>
    <xf numFmtId="0" fontId="2" fillId="0" borderId="0" xfId="0" applyFont="1" applyFill="1"/>
    <xf numFmtId="9" fontId="2" fillId="0" borderId="0" xfId="0" applyNumberFormat="1" applyFont="1" applyFill="1"/>
    <xf numFmtId="10" fontId="2" fillId="0" borderId="0" xfId="0" applyNumberFormat="1" applyFont="1" applyFill="1"/>
    <xf numFmtId="4" fontId="2" fillId="0" borderId="0" xfId="0" applyNumberFormat="1" applyFont="1" applyFill="1"/>
    <xf numFmtId="0" fontId="4" fillId="0" borderId="0" xfId="0" applyFont="1" applyFill="1"/>
    <xf numFmtId="9" fontId="4" fillId="0" borderId="0" xfId="0" applyNumberFormat="1" applyFont="1" applyFill="1"/>
    <xf numFmtId="10" fontId="4" fillId="0" borderId="0" xfId="0" applyNumberFormat="1" applyFont="1" applyFill="1"/>
    <xf numFmtId="8" fontId="4" fillId="0" borderId="0" xfId="0" applyNumberFormat="1" applyFont="1" applyFill="1"/>
    <xf numFmtId="4" fontId="4" fillId="0" borderId="0" xfId="0" applyNumberFormat="1" applyFont="1" applyFill="1"/>
    <xf numFmtId="0" fontId="4" fillId="0" borderId="0" xfId="0" applyFont="1" applyFill="1" applyAlignment="1">
      <alignment horizontal="center"/>
    </xf>
    <xf numFmtId="165" fontId="0" fillId="0" borderId="0" xfId="0" applyNumberFormat="1"/>
    <xf numFmtId="165" fontId="0" fillId="0" borderId="2" xfId="0" applyNumberFormat="1" applyBorder="1"/>
    <xf numFmtId="164" fontId="0" fillId="0" borderId="2" xfId="1" applyNumberFormat="1" applyFont="1" applyBorder="1"/>
    <xf numFmtId="164" fontId="4" fillId="0" borderId="0" xfId="1" applyNumberFormat="1" applyFont="1" applyFill="1"/>
    <xf numFmtId="166" fontId="4" fillId="0" borderId="0" xfId="0" applyNumberFormat="1" applyFont="1" applyFill="1"/>
    <xf numFmtId="166" fontId="2" fillId="0" borderId="0" xfId="0" applyNumberFormat="1" applyFont="1" applyFill="1"/>
    <xf numFmtId="43" fontId="4" fillId="0" borderId="0" xfId="0" applyNumberFormat="1" applyFont="1" applyFill="1"/>
    <xf numFmtId="3" fontId="4" fillId="0" borderId="0" xfId="0" applyNumberFormat="1" applyFont="1" applyFill="1"/>
    <xf numFmtId="166" fontId="0" fillId="0" borderId="0" xfId="0" applyNumberFormat="1"/>
    <xf numFmtId="164" fontId="4" fillId="0" borderId="0" xfId="1" applyNumberFormat="1" applyFont="1" applyFill="1" applyBorder="1"/>
    <xf numFmtId="0" fontId="4" fillId="0" borderId="0" xfId="0" applyFont="1" applyFill="1" applyBorder="1"/>
    <xf numFmtId="166" fontId="4" fillId="0" borderId="0" xfId="0" applyNumberFormat="1" applyFont="1" applyFill="1" applyBorder="1"/>
    <xf numFmtId="167" fontId="4" fillId="0" borderId="0" xfId="0" applyNumberFormat="1" applyFont="1" applyFill="1"/>
    <xf numFmtId="168" fontId="4" fillId="0" borderId="0" xfId="1" applyNumberFormat="1" applyFont="1" applyFill="1"/>
    <xf numFmtId="164" fontId="2" fillId="0" borderId="0" xfId="1" applyNumberFormat="1" applyFont="1" applyFill="1"/>
  </cellXfs>
  <cellStyles count="2">
    <cellStyle name="Comma" xfId="1" builtinId="3"/>
    <cellStyle name="Normal" xfId="0" builtinId="0"/>
  </cellStyles>
  <dxfs count="102"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  <dxf>
      <font>
        <color rgb="FF808080"/>
      </font>
      <fill>
        <patternFill>
          <fgColor indexed="64"/>
          <bgColor rgb="FFCCECFF"/>
        </patternFill>
      </fill>
    </dxf>
    <dxf>
      <font>
        <color auto="1"/>
      </font>
      <fill>
        <patternFill>
          <fgColor indexed="64"/>
          <bgColor rgb="FFC0C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470223</xdr:colOff>
      <xdr:row>21</xdr:row>
      <xdr:rowOff>165100</xdr:rowOff>
    </xdr:from>
    <xdr:to>
      <xdr:col>21</xdr:col>
      <xdr:colOff>148217</xdr:colOff>
      <xdr:row>51</xdr:row>
      <xdr:rowOff>141914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5CA059-B77F-4C55-A783-93D00FF36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6373" y="3854450"/>
          <a:ext cx="5773994" cy="550131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26</xdr:col>
      <xdr:colOff>239852</xdr:colOff>
      <xdr:row>80</xdr:row>
      <xdr:rowOff>81895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E6A64C-EE5E-415C-B706-CFD4F096E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7150" y="9213850"/>
          <a:ext cx="11580952" cy="5238095"/>
        </a:xfrm>
        <a:prstGeom prst="rect">
          <a:avLst/>
        </a:prstGeom>
      </xdr:spPr>
    </xdr:pic>
    <xdr:clientData/>
  </xdr:twoCellAnchor>
  <xdr:twoCellAnchor editAs="oneCell">
    <xdr:from>
      <xdr:col>7</xdr:col>
      <xdr:colOff>816873</xdr:colOff>
      <xdr:row>83</xdr:row>
      <xdr:rowOff>12700</xdr:rowOff>
    </xdr:from>
    <xdr:to>
      <xdr:col>19</xdr:col>
      <xdr:colOff>598745</xdr:colOff>
      <xdr:row>117</xdr:row>
      <xdr:rowOff>17964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4C17F0-3502-40D4-BA62-04CFB3560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39823" y="15119350"/>
          <a:ext cx="7674922" cy="6266364"/>
        </a:xfrm>
        <a:prstGeom prst="rect">
          <a:avLst/>
        </a:prstGeom>
      </xdr:spPr>
    </xdr:pic>
    <xdr:clientData/>
  </xdr:twoCellAnchor>
  <xdr:twoCellAnchor editAs="oneCell">
    <xdr:from>
      <xdr:col>0</xdr:col>
      <xdr:colOff>217384</xdr:colOff>
      <xdr:row>21</xdr:row>
      <xdr:rowOff>76200</xdr:rowOff>
    </xdr:from>
    <xdr:to>
      <xdr:col>9</xdr:col>
      <xdr:colOff>378731</xdr:colOff>
      <xdr:row>45</xdr:row>
      <xdr:rowOff>167057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F4946DF-6C46-41C8-B04C-3C0F4100A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7384" y="3765550"/>
          <a:ext cx="8403647" cy="45104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14886</xdr:colOff>
      <xdr:row>7</xdr:row>
      <xdr:rowOff>177800</xdr:rowOff>
    </xdr:from>
    <xdr:to>
      <xdr:col>17</xdr:col>
      <xdr:colOff>283919</xdr:colOff>
      <xdr:row>39</xdr:row>
      <xdr:rowOff>78317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9475B9-D37A-47AA-84F4-C8F9908AB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486" y="361950"/>
          <a:ext cx="10022633" cy="5793317"/>
        </a:xfrm>
        <a:prstGeom prst="rect">
          <a:avLst/>
        </a:prstGeom>
      </xdr:spPr>
    </xdr:pic>
    <xdr:clientData/>
  </xdr:twoCellAnchor>
  <xdr:twoCellAnchor editAs="oneCell">
    <xdr:from>
      <xdr:col>17</xdr:col>
      <xdr:colOff>554760</xdr:colOff>
      <xdr:row>8</xdr:row>
      <xdr:rowOff>44450</xdr:rowOff>
    </xdr:from>
    <xdr:to>
      <xdr:col>33</xdr:col>
      <xdr:colOff>324785</xdr:colOff>
      <xdr:row>34</xdr:row>
      <xdr:rowOff>157597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F26785-05D5-4C3F-9C58-7FBA04083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7960" y="412750"/>
          <a:ext cx="9523625" cy="49010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FEB3-0D3E-4D4B-A885-589266EF3E78}">
  <sheetPr codeName="Sheet1"/>
  <dimension ref="B1:ALU109"/>
  <sheetViews>
    <sheetView workbookViewId="0">
      <pane xSplit="4" ySplit="4" topLeftCell="E8" activePane="bottomRight" state="frozen"/>
      <selection pane="topRight" activeCell="E1" sqref="E1"/>
      <selection pane="bottomLeft" activeCell="A6" sqref="A6"/>
      <selection pane="bottomRight" activeCell="G21" sqref="G21"/>
    </sheetView>
  </sheetViews>
  <sheetFormatPr defaultRowHeight="14.5" outlineLevelRow="1" x14ac:dyDescent="0.35"/>
  <cols>
    <col min="1" max="2" width="0.90625" style="15" customWidth="1"/>
    <col min="3" max="3" width="29.7265625" style="15" customWidth="1"/>
    <col min="4" max="4" width="13.6328125" style="15" customWidth="1"/>
    <col min="5" max="12" width="11.1796875" style="15" customWidth="1"/>
    <col min="13" max="14" width="10.7265625" style="15" customWidth="1"/>
    <col min="15" max="16" width="11.54296875" style="15" customWidth="1"/>
    <col min="17" max="48" width="12.54296875" style="15" customWidth="1"/>
    <col min="49" max="16384" width="8.7265625" style="15"/>
  </cols>
  <sheetData>
    <row r="1" spans="2:1009" x14ac:dyDescent="0.35">
      <c r="J1" s="20"/>
      <c r="K1" s="20" t="s">
        <v>57</v>
      </c>
    </row>
    <row r="2" spans="2:1009" x14ac:dyDescent="0.35">
      <c r="E2" s="20" t="s">
        <v>55</v>
      </c>
      <c r="F2" s="20" t="s">
        <v>55</v>
      </c>
      <c r="G2" s="20" t="s">
        <v>19</v>
      </c>
      <c r="H2" s="20" t="s">
        <v>51</v>
      </c>
      <c r="I2" s="20"/>
      <c r="J2" s="20" t="s">
        <v>24</v>
      </c>
      <c r="K2" s="20" t="s">
        <v>24</v>
      </c>
      <c r="L2" s="20" t="s">
        <v>23</v>
      </c>
      <c r="M2" s="20"/>
      <c r="N2" s="20" t="s">
        <v>20</v>
      </c>
      <c r="O2" s="20" t="s">
        <v>20</v>
      </c>
      <c r="P2" s="20" t="s">
        <v>20</v>
      </c>
      <c r="Q2" s="20" t="s">
        <v>91</v>
      </c>
      <c r="R2" s="15" t="s">
        <v>156</v>
      </c>
      <c r="S2" s="15" t="s">
        <v>159</v>
      </c>
    </row>
    <row r="3" spans="2:1009" x14ac:dyDescent="0.35">
      <c r="E3" s="20" t="s">
        <v>56</v>
      </c>
      <c r="F3" s="20" t="s">
        <v>56</v>
      </c>
      <c r="G3" s="20" t="s">
        <v>18</v>
      </c>
      <c r="H3" s="20" t="s">
        <v>41</v>
      </c>
      <c r="I3" s="20" t="s">
        <v>24</v>
      </c>
      <c r="J3" s="20" t="s">
        <v>59</v>
      </c>
      <c r="K3" s="20" t="s">
        <v>58</v>
      </c>
      <c r="L3" s="20" t="s">
        <v>24</v>
      </c>
      <c r="M3" s="20"/>
      <c r="N3" s="20" t="s">
        <v>18</v>
      </c>
      <c r="O3" s="20" t="s">
        <v>18</v>
      </c>
      <c r="P3" s="20" t="s">
        <v>108</v>
      </c>
      <c r="Q3" s="20" t="s">
        <v>92</v>
      </c>
      <c r="R3" s="15" t="s">
        <v>92</v>
      </c>
      <c r="S3" s="15" t="s">
        <v>92</v>
      </c>
    </row>
    <row r="4" spans="2:1009" x14ac:dyDescent="0.35">
      <c r="N4" s="20" t="s">
        <v>87</v>
      </c>
      <c r="O4" s="20" t="s">
        <v>88</v>
      </c>
      <c r="P4" s="20"/>
      <c r="Q4" s="20"/>
    </row>
    <row r="5" spans="2:1009" x14ac:dyDescent="0.35">
      <c r="N5" s="20"/>
      <c r="O5" s="20"/>
      <c r="P5" s="20"/>
      <c r="Q5" s="20"/>
    </row>
    <row r="6" spans="2:1009" x14ac:dyDescent="0.35">
      <c r="N6" s="20"/>
      <c r="O6" s="20"/>
      <c r="P6" s="20"/>
      <c r="Q6" s="20"/>
    </row>
    <row r="7" spans="2:1009" x14ac:dyDescent="0.35">
      <c r="B7" s="4" t="s">
        <v>14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</row>
    <row r="8" spans="2:1009" outlineLevel="1" x14ac:dyDescent="0.35">
      <c r="C8" s="15" t="s">
        <v>54</v>
      </c>
      <c r="D8" s="15" t="s">
        <v>34</v>
      </c>
      <c r="E8" s="15">
        <v>100</v>
      </c>
      <c r="F8" s="15">
        <v>100</v>
      </c>
      <c r="G8" s="15">
        <v>100</v>
      </c>
      <c r="H8" s="15">
        <v>100</v>
      </c>
      <c r="K8" s="27"/>
      <c r="N8" s="15">
        <v>100</v>
      </c>
      <c r="O8" s="15">
        <v>100</v>
      </c>
      <c r="P8" s="15">
        <v>100</v>
      </c>
      <c r="Q8" s="15">
        <v>100</v>
      </c>
    </row>
    <row r="9" spans="2:1009" outlineLevel="1" x14ac:dyDescent="0.35">
      <c r="K9" s="27"/>
    </row>
    <row r="10" spans="2:1009" outlineLevel="1" x14ac:dyDescent="0.35">
      <c r="C10" s="15" t="s">
        <v>3</v>
      </c>
      <c r="D10" s="15" t="s">
        <v>4</v>
      </c>
      <c r="E10" s="12">
        <v>0.22</v>
      </c>
      <c r="F10" s="12">
        <v>0.22</v>
      </c>
      <c r="G10" s="12">
        <v>0.21</v>
      </c>
      <c r="H10" s="12">
        <f>E10*1.15</f>
        <v>0.253</v>
      </c>
      <c r="I10" s="16"/>
      <c r="J10" s="16"/>
      <c r="K10" s="16"/>
      <c r="L10" s="16"/>
      <c r="M10" s="16"/>
      <c r="N10" s="12">
        <v>0.9</v>
      </c>
      <c r="O10" s="17">
        <f>'Lazard Geothermal'!G10/100</f>
        <v>0.8</v>
      </c>
      <c r="P10" s="12">
        <v>0.9</v>
      </c>
      <c r="Q10" s="16">
        <v>0.5</v>
      </c>
    </row>
    <row r="11" spans="2:1009" outlineLevel="1" x14ac:dyDescent="0.35">
      <c r="C11" s="15" t="s">
        <v>98</v>
      </c>
      <c r="D11" s="15" t="s">
        <v>5</v>
      </c>
      <c r="E11" s="24">
        <f>8760*E10</f>
        <v>1927.2</v>
      </c>
      <c r="F11" s="24">
        <f>8760*F10</f>
        <v>1927.2</v>
      </c>
      <c r="G11" s="24">
        <f>8760*G10</f>
        <v>1839.6</v>
      </c>
      <c r="H11" s="24">
        <f>8760*H10</f>
        <v>2216.2800000000002</v>
      </c>
      <c r="N11" s="25">
        <f>8760*N10</f>
        <v>7884</v>
      </c>
      <c r="O11" s="15">
        <f>8760*O10</f>
        <v>7008</v>
      </c>
      <c r="P11" s="25">
        <f>8760*P10</f>
        <v>7884</v>
      </c>
      <c r="Q11" s="25">
        <f>8760*Q10</f>
        <v>4380</v>
      </c>
    </row>
    <row r="12" spans="2:1009" outlineLevel="1" x14ac:dyDescent="0.35">
      <c r="C12" s="15" t="s">
        <v>99</v>
      </c>
      <c r="D12" s="15" t="s">
        <v>97</v>
      </c>
      <c r="E12" s="24">
        <f>E11/365.25</f>
        <v>5.2763860369609858</v>
      </c>
      <c r="F12" s="24">
        <f>F11/365.25</f>
        <v>5.2763860369609858</v>
      </c>
      <c r="G12" s="24">
        <f t="shared" ref="G12" si="0">G11/365.25</f>
        <v>5.0365503080082137</v>
      </c>
      <c r="H12" s="24">
        <f t="shared" ref="H12" si="1">H11/365.25</f>
        <v>6.0678439425051343</v>
      </c>
      <c r="I12" s="27"/>
      <c r="N12" s="24">
        <f t="shared" ref="N12:P12" si="2">N11/365.25</f>
        <v>21.585215605749486</v>
      </c>
      <c r="O12" s="24">
        <f t="shared" si="2"/>
        <v>19.186858316221766</v>
      </c>
      <c r="P12" s="24">
        <f t="shared" si="2"/>
        <v>21.585215605749486</v>
      </c>
      <c r="Q12" s="24">
        <f t="shared" ref="Q12" si="3">Q11/365.25</f>
        <v>11.991786447638603</v>
      </c>
    </row>
    <row r="13" spans="2:1009" outlineLevel="1" x14ac:dyDescent="0.35">
      <c r="C13" s="15" t="s">
        <v>90</v>
      </c>
      <c r="D13" s="15" t="s">
        <v>32</v>
      </c>
      <c r="I13" s="24"/>
    </row>
    <row r="14" spans="2:1009" outlineLevel="1" x14ac:dyDescent="0.35">
      <c r="C14" s="15" t="s">
        <v>116</v>
      </c>
      <c r="D14" s="15" t="s">
        <v>117</v>
      </c>
      <c r="E14" s="25">
        <f>E10*E8*8760</f>
        <v>192720</v>
      </c>
      <c r="F14" s="25">
        <f>F10*F8*8760</f>
        <v>192720</v>
      </c>
      <c r="G14" s="25">
        <f t="shared" ref="G14" si="4">G10*G8*8760</f>
        <v>183960</v>
      </c>
      <c r="H14" s="25">
        <f t="shared" ref="H14" si="5">H10*H8*8760</f>
        <v>221628</v>
      </c>
      <c r="I14" s="24"/>
      <c r="N14" s="25">
        <f t="shared" ref="N14:P14" si="6">N10*N8*8760</f>
        <v>788400</v>
      </c>
      <c r="O14" s="25">
        <f t="shared" si="6"/>
        <v>700800</v>
      </c>
      <c r="P14" s="25">
        <f t="shared" si="6"/>
        <v>788400</v>
      </c>
      <c r="Q14" s="25">
        <f t="shared" ref="Q14" si="7">Q10*Q8*8760</f>
        <v>438000</v>
      </c>
    </row>
    <row r="15" spans="2:1009" outlineLevel="1" x14ac:dyDescent="0.35"/>
    <row r="16" spans="2:1009" outlineLevel="1" x14ac:dyDescent="0.35"/>
    <row r="17" spans="3:19" outlineLevel="1" x14ac:dyDescent="0.35">
      <c r="C17" s="15" t="s">
        <v>0</v>
      </c>
      <c r="D17" s="15" t="s">
        <v>1</v>
      </c>
      <c r="E17" s="35">
        <v>531</v>
      </c>
      <c r="F17" s="35">
        <v>531</v>
      </c>
      <c r="G17" s="35">
        <v>825</v>
      </c>
      <c r="H17" s="35">
        <f>E17*1.15</f>
        <v>610.65</v>
      </c>
      <c r="N17" s="26">
        <v>4500</v>
      </c>
      <c r="O17" s="25">
        <f>'Lazard Geothermal'!G6</f>
        <v>6050</v>
      </c>
      <c r="P17" s="26">
        <v>2500</v>
      </c>
      <c r="Q17" s="26">
        <v>4000</v>
      </c>
    </row>
    <row r="18" spans="3:19" outlineLevel="1" x14ac:dyDescent="0.35">
      <c r="C18" s="15" t="s">
        <v>62</v>
      </c>
      <c r="D18" s="15" t="s">
        <v>63</v>
      </c>
      <c r="E18" s="26">
        <f>E8*E17</f>
        <v>53100</v>
      </c>
      <c r="F18" s="26">
        <f>F8*F17</f>
        <v>53100</v>
      </c>
      <c r="G18" s="26">
        <f>G8*G17</f>
        <v>82500</v>
      </c>
      <c r="H18" s="26">
        <f>H8*H17</f>
        <v>61065</v>
      </c>
      <c r="N18" s="26">
        <f>N8*N17</f>
        <v>450000</v>
      </c>
      <c r="O18" s="26">
        <f>O8*O17</f>
        <v>605000</v>
      </c>
      <c r="P18" s="26">
        <f>P8*P17</f>
        <v>250000</v>
      </c>
      <c r="Q18" s="26">
        <f>Q8*Q17</f>
        <v>400000</v>
      </c>
    </row>
    <row r="19" spans="3:19" outlineLevel="1" x14ac:dyDescent="0.35">
      <c r="E19" s="11"/>
      <c r="F19" s="11"/>
      <c r="G19" s="11"/>
      <c r="H19" s="11"/>
      <c r="N19" s="11"/>
      <c r="P19" s="11"/>
    </row>
    <row r="20" spans="3:19" outlineLevel="1" x14ac:dyDescent="0.35">
      <c r="C20" s="15" t="s">
        <v>61</v>
      </c>
      <c r="D20" s="15" t="s">
        <v>96</v>
      </c>
      <c r="E20" s="11"/>
      <c r="F20" s="11"/>
      <c r="G20" s="11"/>
      <c r="H20" s="11"/>
      <c r="K20" s="28"/>
      <c r="N20" s="11"/>
      <c r="P20" s="11"/>
    </row>
    <row r="21" spans="3:19" outlineLevel="1" x14ac:dyDescent="0.35">
      <c r="C21" s="15" t="s">
        <v>60</v>
      </c>
      <c r="D21" s="15" t="s">
        <v>95</v>
      </c>
      <c r="E21" s="11"/>
      <c r="F21" s="11"/>
      <c r="G21" s="11"/>
      <c r="H21" s="11"/>
      <c r="N21" s="11"/>
      <c r="P21" s="11"/>
    </row>
    <row r="22" spans="3:19" outlineLevel="1" x14ac:dyDescent="0.35">
      <c r="C22" s="15" t="s">
        <v>89</v>
      </c>
      <c r="D22" s="15" t="s">
        <v>155</v>
      </c>
      <c r="E22" s="11"/>
      <c r="F22" s="11"/>
      <c r="G22" s="11"/>
      <c r="H22" s="11"/>
      <c r="N22" s="11"/>
      <c r="P22" s="11"/>
    </row>
    <row r="23" spans="3:19" outlineLevel="1" x14ac:dyDescent="0.35">
      <c r="E23" s="11"/>
      <c r="F23" s="11"/>
      <c r="G23" s="11"/>
      <c r="H23" s="11"/>
      <c r="N23" s="11"/>
      <c r="P23" s="11"/>
    </row>
    <row r="24" spans="3:19" outlineLevel="1" x14ac:dyDescent="0.35">
      <c r="E24" s="11"/>
      <c r="F24" s="11"/>
      <c r="G24" s="11"/>
      <c r="H24" s="11"/>
      <c r="N24" s="11"/>
      <c r="P24" s="11"/>
    </row>
    <row r="25" spans="3:19" outlineLevel="1" x14ac:dyDescent="0.35">
      <c r="C25" s="15" t="s">
        <v>21</v>
      </c>
      <c r="D25" s="15" t="s">
        <v>2</v>
      </c>
      <c r="E25" s="35">
        <v>15</v>
      </c>
      <c r="F25" s="35">
        <v>15</v>
      </c>
      <c r="G25" s="35">
        <v>9.5</v>
      </c>
      <c r="H25" s="35">
        <v>9.5</v>
      </c>
      <c r="I25" s="24"/>
      <c r="J25" s="24"/>
      <c r="K25" s="24"/>
      <c r="L25" s="24"/>
      <c r="M25" s="24"/>
      <c r="N25" s="35">
        <v>13</v>
      </c>
      <c r="O25" s="24">
        <f>'Lazard Geothermal'!G7</f>
        <v>14</v>
      </c>
      <c r="P25" s="35">
        <v>13</v>
      </c>
      <c r="Q25" s="35">
        <v>15</v>
      </c>
    </row>
    <row r="26" spans="3:19" outlineLevel="1" x14ac:dyDescent="0.35">
      <c r="C26" s="15" t="s">
        <v>162</v>
      </c>
      <c r="D26" s="15" t="s">
        <v>63</v>
      </c>
      <c r="E26" s="26">
        <f>E25*E8</f>
        <v>1500</v>
      </c>
      <c r="F26" s="26">
        <f t="shared" ref="F26:S26" si="8">F25*F8</f>
        <v>1500</v>
      </c>
      <c r="G26" s="26">
        <f t="shared" si="8"/>
        <v>950</v>
      </c>
      <c r="H26" s="26">
        <f t="shared" si="8"/>
        <v>950</v>
      </c>
      <c r="I26" s="26">
        <f t="shared" si="8"/>
        <v>0</v>
      </c>
      <c r="J26" s="26">
        <f t="shared" si="8"/>
        <v>0</v>
      </c>
      <c r="K26" s="26">
        <f t="shared" si="8"/>
        <v>0</v>
      </c>
      <c r="L26" s="26">
        <f t="shared" si="8"/>
        <v>0</v>
      </c>
      <c r="M26" s="26">
        <f t="shared" si="8"/>
        <v>0</v>
      </c>
      <c r="N26" s="26">
        <f t="shared" si="8"/>
        <v>1300</v>
      </c>
      <c r="O26" s="26">
        <f t="shared" si="8"/>
        <v>1400</v>
      </c>
      <c r="P26" s="26">
        <f t="shared" si="8"/>
        <v>1300</v>
      </c>
      <c r="Q26" s="26">
        <f t="shared" si="8"/>
        <v>1500</v>
      </c>
      <c r="R26" s="26">
        <f t="shared" si="8"/>
        <v>0</v>
      </c>
      <c r="S26" s="26">
        <f t="shared" si="8"/>
        <v>0</v>
      </c>
    </row>
    <row r="27" spans="3:19" outlineLevel="1" x14ac:dyDescent="0.35">
      <c r="E27" s="11"/>
      <c r="F27" s="11"/>
      <c r="G27" s="11"/>
      <c r="H27" s="11"/>
      <c r="N27" s="11"/>
      <c r="P27" s="11"/>
      <c r="Q27" s="11"/>
    </row>
    <row r="28" spans="3:19" outlineLevel="1" x14ac:dyDescent="0.35">
      <c r="C28" s="15" t="s">
        <v>22</v>
      </c>
      <c r="D28" s="15" t="s">
        <v>11</v>
      </c>
      <c r="N28" s="14">
        <v>9</v>
      </c>
      <c r="O28" s="15">
        <f>'Lazard Geothermal'!G8</f>
        <v>24</v>
      </c>
      <c r="P28" s="14">
        <v>9</v>
      </c>
      <c r="Q28" s="14">
        <v>0</v>
      </c>
    </row>
    <row r="29" spans="3:19" outlineLevel="1" x14ac:dyDescent="0.35">
      <c r="C29" s="15" t="s">
        <v>93</v>
      </c>
      <c r="D29" s="15" t="s">
        <v>113</v>
      </c>
      <c r="E29" s="11"/>
      <c r="F29" s="11"/>
      <c r="G29" s="11"/>
      <c r="H29" s="11"/>
      <c r="N29" s="11"/>
      <c r="P29" s="11"/>
      <c r="Q29" s="11"/>
    </row>
    <row r="30" spans="3:19" outlineLevel="1" x14ac:dyDescent="0.35">
      <c r="C30" s="15" t="s">
        <v>94</v>
      </c>
      <c r="D30" s="15" t="s">
        <v>111</v>
      </c>
      <c r="E30" s="11"/>
      <c r="F30" s="11"/>
      <c r="G30" s="11"/>
      <c r="H30" s="11"/>
      <c r="N30" s="11"/>
      <c r="P30" s="11"/>
      <c r="Q30" s="11"/>
    </row>
    <row r="31" spans="3:19" x14ac:dyDescent="0.35">
      <c r="C31" s="15" t="s">
        <v>112</v>
      </c>
      <c r="D31" s="15" t="s">
        <v>11</v>
      </c>
    </row>
    <row r="32" spans="3:19" x14ac:dyDescent="0.35">
      <c r="C32" s="15" t="s">
        <v>161</v>
      </c>
    </row>
    <row r="34" spans="2:1009" x14ac:dyDescent="0.35">
      <c r="C34" s="15" t="s">
        <v>157</v>
      </c>
      <c r="D34" s="15" t="s">
        <v>158</v>
      </c>
    </row>
    <row r="35" spans="2:1009" x14ac:dyDescent="0.35">
      <c r="C35" s="15" t="s">
        <v>160</v>
      </c>
    </row>
    <row r="37" spans="2:1009" x14ac:dyDescent="0.35">
      <c r="C37" s="15" t="s">
        <v>115</v>
      </c>
      <c r="D37" s="15" t="s">
        <v>102</v>
      </c>
      <c r="E37" s="25">
        <f>E8*E25+E28*E14/1000</f>
        <v>1500</v>
      </c>
      <c r="F37" s="25">
        <f>F8*F25+F28*F14/1000</f>
        <v>1500</v>
      </c>
      <c r="G37" s="25">
        <f>G8*G25+G28*G14/1000</f>
        <v>950</v>
      </c>
      <c r="H37" s="25">
        <f>H8*H25+H28*H14/1000</f>
        <v>950</v>
      </c>
      <c r="N37" s="25">
        <f>N8*N25+N28*N14/1000</f>
        <v>8395.6</v>
      </c>
      <c r="O37" s="25">
        <f t="shared" ref="O37:P37" si="9">O8*O25+O28*O14/1000</f>
        <v>18219.2</v>
      </c>
      <c r="P37" s="25">
        <f t="shared" si="9"/>
        <v>8395.6</v>
      </c>
      <c r="Q37" s="25">
        <f t="shared" ref="Q37" si="10">Q8*Q25+Q28*Q14/1000</f>
        <v>1500</v>
      </c>
    </row>
    <row r="38" spans="2:1009" outlineLevel="1" x14ac:dyDescent="0.35"/>
    <row r="39" spans="2:1009" outlineLevel="1" x14ac:dyDescent="0.35">
      <c r="C39" s="15" t="s">
        <v>6</v>
      </c>
      <c r="D39" s="15" t="s">
        <v>7</v>
      </c>
      <c r="E39" s="11">
        <v>30</v>
      </c>
      <c r="F39" s="11">
        <v>30</v>
      </c>
      <c r="G39" s="11">
        <v>30</v>
      </c>
      <c r="H39" s="11">
        <v>30</v>
      </c>
      <c r="I39" s="11">
        <v>15</v>
      </c>
      <c r="J39" s="11">
        <v>30</v>
      </c>
      <c r="K39" s="11">
        <v>30</v>
      </c>
      <c r="L39" s="11">
        <v>30</v>
      </c>
      <c r="M39" s="11">
        <v>30</v>
      </c>
      <c r="N39" s="11">
        <f>'Lazard Geothermal'!F13</f>
        <v>25</v>
      </c>
      <c r="O39" s="15">
        <f>'Lazard Geothermal'!G13</f>
        <v>25</v>
      </c>
      <c r="P39" s="11">
        <v>30</v>
      </c>
      <c r="Q39" s="11">
        <f>'Lazard Geothermal'!I13</f>
        <v>20</v>
      </c>
      <c r="R39" s="11">
        <f>'Lazard Geothermal'!J13</f>
        <v>20</v>
      </c>
    </row>
    <row r="40" spans="2:1009" outlineLevel="1" x14ac:dyDescent="0.35">
      <c r="C40" s="15" t="s">
        <v>130</v>
      </c>
      <c r="D40" s="15" t="s">
        <v>8</v>
      </c>
      <c r="E40" s="12">
        <v>0.05</v>
      </c>
      <c r="F40" s="12">
        <v>0.05</v>
      </c>
      <c r="G40" s="12">
        <v>0.02</v>
      </c>
      <c r="H40" s="12">
        <v>0.02</v>
      </c>
      <c r="I40" s="12">
        <v>0.02</v>
      </c>
      <c r="J40" s="12">
        <v>0.02</v>
      </c>
      <c r="K40" s="12">
        <v>0.02</v>
      </c>
      <c r="L40" s="12">
        <v>0.02</v>
      </c>
      <c r="M40" s="12">
        <v>0.02</v>
      </c>
      <c r="N40" s="12">
        <v>0.02</v>
      </c>
      <c r="O40" s="12">
        <v>0.02</v>
      </c>
      <c r="P40" s="12">
        <v>0.02</v>
      </c>
      <c r="Q40" s="12">
        <v>0.02</v>
      </c>
      <c r="R40" s="12">
        <v>0.02</v>
      </c>
    </row>
    <row r="41" spans="2:1009" outlineLevel="1" x14ac:dyDescent="0.35">
      <c r="E41" s="11"/>
      <c r="F41" s="11"/>
      <c r="G41" s="11"/>
      <c r="H41" s="11"/>
      <c r="I41" s="11"/>
      <c r="J41" s="11"/>
      <c r="K41" s="11"/>
      <c r="L41" s="11"/>
      <c r="M41" s="11"/>
      <c r="N41" s="11"/>
      <c r="P41" s="11"/>
      <c r="Q41" s="11"/>
      <c r="R41" s="11"/>
    </row>
    <row r="42" spans="2:1009" outlineLevel="1" x14ac:dyDescent="0.35">
      <c r="C42" s="15" t="s">
        <v>131</v>
      </c>
      <c r="D42" s="15" t="s">
        <v>8</v>
      </c>
      <c r="E42" s="13">
        <v>0.08</v>
      </c>
      <c r="F42" s="13">
        <v>0.08</v>
      </c>
      <c r="G42" s="13">
        <v>0.08</v>
      </c>
      <c r="H42" s="13">
        <v>0.08</v>
      </c>
      <c r="I42" s="13">
        <v>0.08</v>
      </c>
      <c r="J42" s="13">
        <v>0.08</v>
      </c>
      <c r="K42" s="13">
        <v>0.08</v>
      </c>
      <c r="L42" s="13">
        <v>0.08</v>
      </c>
      <c r="M42" s="13">
        <v>0.08</v>
      </c>
      <c r="N42" s="13">
        <v>3.5000000000000003E-2</v>
      </c>
      <c r="O42" s="17">
        <f>N42</f>
        <v>3.5000000000000003E-2</v>
      </c>
      <c r="P42" s="13">
        <v>3.5000000000000003E-2</v>
      </c>
      <c r="Q42" s="13">
        <v>3.5000000000000003E-2</v>
      </c>
      <c r="R42" s="13">
        <v>3.5000000000000003E-2</v>
      </c>
    </row>
    <row r="43" spans="2:1009" outlineLevel="1" x14ac:dyDescent="0.35">
      <c r="C43" s="15" t="s">
        <v>132</v>
      </c>
      <c r="D43" s="15" t="s">
        <v>8</v>
      </c>
      <c r="E43" s="13">
        <f>(1+E42)/(1+E40)-1</f>
        <v>2.8571428571428692E-2</v>
      </c>
      <c r="F43" s="13">
        <f>(1+F42)/(1+F40)-1</f>
        <v>2.8571428571428692E-2</v>
      </c>
      <c r="G43" s="13">
        <f t="shared" ref="G43" si="11">(1+G42)/(1+G40)-1</f>
        <v>5.8823529411764719E-2</v>
      </c>
      <c r="H43" s="13">
        <f t="shared" ref="H43" si="12">(1+H42)/(1+H40)-1</f>
        <v>5.8823529411764719E-2</v>
      </c>
      <c r="I43" s="13">
        <f t="shared" ref="I43:P43" si="13">(1+I42)/(1+I40)-1</f>
        <v>5.8823529411764719E-2</v>
      </c>
      <c r="J43" s="13">
        <f t="shared" si="13"/>
        <v>5.8823529411764719E-2</v>
      </c>
      <c r="K43" s="13">
        <f t="shared" si="13"/>
        <v>5.8823529411764719E-2</v>
      </c>
      <c r="L43" s="13">
        <f t="shared" si="13"/>
        <v>5.8823529411764719E-2</v>
      </c>
      <c r="M43" s="13">
        <f t="shared" si="13"/>
        <v>5.8823529411764719E-2</v>
      </c>
      <c r="N43" s="13">
        <f t="shared" si="13"/>
        <v>1.4705882352941124E-2</v>
      </c>
      <c r="O43" s="13">
        <f t="shared" si="13"/>
        <v>1.4705882352941124E-2</v>
      </c>
      <c r="P43" s="13">
        <f t="shared" si="13"/>
        <v>1.4705882352941124E-2</v>
      </c>
      <c r="Q43" s="13">
        <f t="shared" ref="Q43:R43" si="14">(1+Q42)/(1+Q40)-1</f>
        <v>1.4705882352941124E-2</v>
      </c>
      <c r="R43" s="13">
        <f t="shared" si="14"/>
        <v>1.4705882352941124E-2</v>
      </c>
    </row>
    <row r="44" spans="2:1009" outlineLevel="1" x14ac:dyDescent="0.35"/>
    <row r="45" spans="2:1009" x14ac:dyDescent="0.35">
      <c r="B45" s="4" t="s">
        <v>15</v>
      </c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</row>
    <row r="47" spans="2:1009" x14ac:dyDescent="0.35">
      <c r="C47" s="15" t="s">
        <v>133</v>
      </c>
      <c r="D47" s="15" t="s">
        <v>32</v>
      </c>
      <c r="E47" s="17">
        <f>PMT(E42,E39,-1)</f>
        <v>8.8827433387272295E-2</v>
      </c>
      <c r="F47" s="17">
        <f>PMT(F42,F39,-1)</f>
        <v>8.8827433387272295E-2</v>
      </c>
      <c r="G47" s="17">
        <f>PMT(G42,G39,-1)</f>
        <v>8.8827433387272295E-2</v>
      </c>
      <c r="H47" s="17">
        <f>PMT(H42,H39,-1)</f>
        <v>8.8827433387272295E-2</v>
      </c>
      <c r="I47" s="17">
        <f t="shared" ref="I47:T47" si="15">PMT(I42,I39,-1)</f>
        <v>0.11682954493602005</v>
      </c>
      <c r="J47" s="17">
        <f t="shared" si="15"/>
        <v>8.8827433387272295E-2</v>
      </c>
      <c r="K47" s="17">
        <f t="shared" si="15"/>
        <v>8.8827433387272295E-2</v>
      </c>
      <c r="L47" s="17">
        <f t="shared" si="15"/>
        <v>8.8827433387272295E-2</v>
      </c>
      <c r="M47" s="17">
        <f t="shared" si="15"/>
        <v>8.8827433387272295E-2</v>
      </c>
      <c r="N47" s="17">
        <f t="shared" si="15"/>
        <v>6.0674035411043839E-2</v>
      </c>
      <c r="O47" s="17">
        <f t="shared" si="15"/>
        <v>6.0674035411043839E-2</v>
      </c>
      <c r="P47" s="17">
        <f t="shared" si="15"/>
        <v>5.4371331607423551E-2</v>
      </c>
      <c r="Q47" s="17">
        <f t="shared" si="15"/>
        <v>7.0361076783026194E-2</v>
      </c>
      <c r="R47" s="17">
        <f t="shared" si="15"/>
        <v>7.0361076783026194E-2</v>
      </c>
      <c r="S47" s="17" t="e">
        <f t="shared" si="15"/>
        <v>#NUM!</v>
      </c>
      <c r="T47" s="17" t="e">
        <f t="shared" si="15"/>
        <v>#NUM!</v>
      </c>
    </row>
    <row r="48" spans="2:1009" x14ac:dyDescent="0.35">
      <c r="C48" s="15" t="s">
        <v>134</v>
      </c>
      <c r="D48" s="15" t="s">
        <v>32</v>
      </c>
      <c r="E48" s="17">
        <f>PMT(E43,E39,-1)</f>
        <v>5.0081654791869601E-2</v>
      </c>
      <c r="F48" s="17">
        <f t="shared" ref="F48:G48" si="16">PMT(F43,F39,-1)</f>
        <v>5.0081654791869601E-2</v>
      </c>
      <c r="G48" s="17">
        <f t="shared" si="16"/>
        <v>7.1736736063533035E-2</v>
      </c>
      <c r="H48" s="17">
        <f t="shared" ref="H48:T48" si="17">PMT(H43,H39,-1)</f>
        <v>7.1736736063533035E-2</v>
      </c>
      <c r="I48" s="17">
        <f t="shared" si="17"/>
        <v>0.10217275579857334</v>
      </c>
      <c r="J48" s="17">
        <f t="shared" si="17"/>
        <v>7.1736736063533035E-2</v>
      </c>
      <c r="K48" s="17">
        <f t="shared" si="17"/>
        <v>7.1736736063533035E-2</v>
      </c>
      <c r="L48" s="17">
        <f t="shared" si="17"/>
        <v>7.1736736063533035E-2</v>
      </c>
      <c r="M48" s="17">
        <f t="shared" si="17"/>
        <v>7.1736736063533035E-2</v>
      </c>
      <c r="N48" s="17">
        <f t="shared" si="17"/>
        <v>4.809262052040212E-2</v>
      </c>
      <c r="O48" s="17">
        <f t="shared" si="17"/>
        <v>4.809262052040212E-2</v>
      </c>
      <c r="P48" s="17">
        <f t="shared" si="17"/>
        <v>4.1465788732518702E-2</v>
      </c>
      <c r="Q48" s="17">
        <f t="shared" si="17"/>
        <v>5.8077000051703159E-2</v>
      </c>
      <c r="R48" s="17">
        <f t="shared" si="17"/>
        <v>5.8077000051703159E-2</v>
      </c>
      <c r="S48" s="17" t="e">
        <f t="shared" si="17"/>
        <v>#NUM!</v>
      </c>
      <c r="T48" s="17" t="e">
        <f t="shared" si="17"/>
        <v>#NUM!</v>
      </c>
    </row>
    <row r="50" spans="3:18" outlineLevel="1" x14ac:dyDescent="0.35">
      <c r="C50" s="15" t="s">
        <v>118</v>
      </c>
      <c r="D50" s="15" t="s">
        <v>63</v>
      </c>
      <c r="E50" s="24">
        <f>E47*E18</f>
        <v>4716.736712864159</v>
      </c>
      <c r="F50" s="24">
        <f>F47*F18</f>
        <v>4716.736712864159</v>
      </c>
      <c r="G50" s="24">
        <f>G47*G18</f>
        <v>7328.2632544499647</v>
      </c>
      <c r="H50" s="24">
        <f>H47*H18</f>
        <v>5424.2472197937823</v>
      </c>
      <c r="I50" s="18"/>
      <c r="J50" s="18"/>
      <c r="K50" s="18"/>
      <c r="L50" s="18"/>
      <c r="M50" s="18"/>
      <c r="N50" s="24">
        <f>N47*N18</f>
        <v>27303.315934969727</v>
      </c>
      <c r="O50" s="24">
        <f>O47*O18</f>
        <v>36707.79142368152</v>
      </c>
      <c r="P50" s="24">
        <f>P47*P18</f>
        <v>13592.832901855887</v>
      </c>
      <c r="Q50" s="24">
        <f>Q47*Q18</f>
        <v>28144.430713210477</v>
      </c>
      <c r="R50" s="24">
        <f>R47*R18</f>
        <v>0</v>
      </c>
    </row>
    <row r="51" spans="3:18" outlineLevel="1" x14ac:dyDescent="0.35">
      <c r="E51" s="24"/>
      <c r="F51" s="24"/>
      <c r="G51" s="24"/>
      <c r="H51" s="24"/>
      <c r="I51" s="18"/>
      <c r="J51" s="18"/>
      <c r="K51" s="18"/>
      <c r="L51" s="18"/>
      <c r="M51" s="18"/>
      <c r="N51" s="24"/>
      <c r="O51" s="24"/>
      <c r="P51" s="24"/>
      <c r="Q51" s="24"/>
      <c r="R51" s="24"/>
    </row>
    <row r="52" spans="3:18" outlineLevel="1" x14ac:dyDescent="0.35">
      <c r="E52" s="24"/>
      <c r="F52" s="24"/>
      <c r="G52" s="24"/>
      <c r="H52" s="24"/>
      <c r="I52" s="18"/>
      <c r="J52" s="18"/>
      <c r="K52" s="18"/>
      <c r="L52" s="18"/>
      <c r="M52" s="18"/>
      <c r="N52" s="24"/>
      <c r="O52" s="24"/>
      <c r="P52" s="24"/>
      <c r="Q52" s="24"/>
      <c r="R52" s="24"/>
    </row>
    <row r="53" spans="3:18" outlineLevel="1" x14ac:dyDescent="0.35">
      <c r="C53" s="15" t="s">
        <v>140</v>
      </c>
      <c r="E53" s="24">
        <f>IFERROR(PV(E43,E39,-1)/PV(E42,E39,-1),FALSE)</f>
        <v>1.7736521238450127</v>
      </c>
      <c r="F53" s="24">
        <f t="shared" ref="F53:P53" si="18">IFERROR(PV(F43,F39,-1)/PV(F42,F39,-1),FALSE)</f>
        <v>1.7736521238450127</v>
      </c>
      <c r="G53" s="24">
        <f t="shared" si="18"/>
        <v>1.2382419142767105</v>
      </c>
      <c r="H53" s="24">
        <f t="shared" ref="H53" si="19">IFERROR(PV(H43,H39,-1)/PV(H42,H39,-1),FALSE)</f>
        <v>1.2382419142767105</v>
      </c>
      <c r="I53" s="24">
        <f t="shared" si="18"/>
        <v>1.1434510503596629</v>
      </c>
      <c r="J53" s="24">
        <f t="shared" si="18"/>
        <v>1.2382419142767105</v>
      </c>
      <c r="K53" s="24">
        <f t="shared" si="18"/>
        <v>1.2382419142767105</v>
      </c>
      <c r="L53" s="24">
        <f t="shared" si="18"/>
        <v>1.2382419142767105</v>
      </c>
      <c r="M53" s="24">
        <f t="shared" si="18"/>
        <v>1.2382419142767105</v>
      </c>
      <c r="N53" s="24">
        <f t="shared" si="18"/>
        <v>1.2616080129238223</v>
      </c>
      <c r="O53" s="24">
        <f t="shared" si="18"/>
        <v>1.2616080129238223</v>
      </c>
      <c r="P53" s="24">
        <f t="shared" si="18"/>
        <v>1.3112335076550472</v>
      </c>
      <c r="Q53" s="24">
        <f t="shared" ref="Q53:R53" si="20">IFERROR(PV(Q43,Q39,-1)/PV(Q42,Q39,-1),FALSE)</f>
        <v>1.2115136236442521</v>
      </c>
      <c r="R53" s="24">
        <f t="shared" si="20"/>
        <v>1.2115136236442521</v>
      </c>
    </row>
    <row r="54" spans="3:18" outlineLevel="1" x14ac:dyDescent="0.35">
      <c r="E54" s="24"/>
      <c r="F54" s="24"/>
      <c r="G54" s="24"/>
      <c r="H54" s="24"/>
      <c r="I54" s="18"/>
      <c r="J54" s="18"/>
      <c r="K54" s="18"/>
      <c r="L54" s="18"/>
      <c r="M54" s="18"/>
      <c r="N54" s="24"/>
      <c r="O54" s="24"/>
      <c r="P54" s="24"/>
      <c r="Q54" s="24"/>
      <c r="R54" s="24"/>
    </row>
    <row r="55" spans="3:18" outlineLevel="1" x14ac:dyDescent="0.35">
      <c r="C55" s="15" t="s">
        <v>141</v>
      </c>
      <c r="D55" s="15" t="s">
        <v>63</v>
      </c>
      <c r="E55" s="24">
        <f>E37</f>
        <v>1500</v>
      </c>
      <c r="F55" s="24">
        <f t="shared" ref="F55:P55" si="21">F37</f>
        <v>1500</v>
      </c>
      <c r="G55" s="24">
        <f t="shared" si="21"/>
        <v>950</v>
      </c>
      <c r="H55" s="24">
        <f t="shared" ref="H55" si="22">H37</f>
        <v>950</v>
      </c>
      <c r="I55" s="24">
        <f t="shared" si="21"/>
        <v>0</v>
      </c>
      <c r="J55" s="24">
        <f t="shared" si="21"/>
        <v>0</v>
      </c>
      <c r="K55" s="24">
        <f t="shared" si="21"/>
        <v>0</v>
      </c>
      <c r="L55" s="24">
        <f t="shared" si="21"/>
        <v>0</v>
      </c>
      <c r="M55" s="24">
        <f t="shared" si="21"/>
        <v>0</v>
      </c>
      <c r="N55" s="24">
        <f t="shared" si="21"/>
        <v>8395.6</v>
      </c>
      <c r="O55" s="24">
        <f t="shared" si="21"/>
        <v>18219.2</v>
      </c>
      <c r="P55" s="24">
        <f t="shared" si="21"/>
        <v>8395.6</v>
      </c>
      <c r="Q55" s="24">
        <f t="shared" ref="Q55:R55" si="23">Q37</f>
        <v>1500</v>
      </c>
      <c r="R55" s="24">
        <f t="shared" si="23"/>
        <v>0</v>
      </c>
    </row>
    <row r="56" spans="3:18" outlineLevel="1" x14ac:dyDescent="0.35">
      <c r="E56" s="24"/>
      <c r="F56" s="24"/>
      <c r="G56" s="24"/>
      <c r="H56" s="24"/>
      <c r="I56" s="18"/>
      <c r="J56" s="18"/>
      <c r="K56" s="18"/>
      <c r="L56" s="18"/>
      <c r="M56" s="18"/>
      <c r="N56" s="24"/>
      <c r="O56" s="24"/>
      <c r="P56" s="24"/>
      <c r="Q56" s="24"/>
      <c r="R56" s="24"/>
    </row>
    <row r="57" spans="3:18" outlineLevel="1" x14ac:dyDescent="0.35">
      <c r="C57" s="15" t="s">
        <v>142</v>
      </c>
      <c r="D57" s="15" t="s">
        <v>63</v>
      </c>
      <c r="E57" s="24">
        <f>E55*E53</f>
        <v>2660.4781857675189</v>
      </c>
      <c r="F57" s="24">
        <f t="shared" ref="F57:P57" si="24">F55*F53</f>
        <v>2660.4781857675189</v>
      </c>
      <c r="G57" s="24">
        <f t="shared" si="24"/>
        <v>1176.3298185628751</v>
      </c>
      <c r="H57" s="24">
        <f t="shared" ref="H57" si="25">H55*H53</f>
        <v>1176.3298185628751</v>
      </c>
      <c r="I57" s="24">
        <f t="shared" si="24"/>
        <v>0</v>
      </c>
      <c r="J57" s="24">
        <f t="shared" si="24"/>
        <v>0</v>
      </c>
      <c r="K57" s="24">
        <f t="shared" si="24"/>
        <v>0</v>
      </c>
      <c r="L57" s="24">
        <f t="shared" si="24"/>
        <v>0</v>
      </c>
      <c r="M57" s="24">
        <f t="shared" si="24"/>
        <v>0</v>
      </c>
      <c r="N57" s="24">
        <f t="shared" si="24"/>
        <v>10591.956233303243</v>
      </c>
      <c r="O57" s="24">
        <f t="shared" si="24"/>
        <v>22985.488709061705</v>
      </c>
      <c r="P57" s="24">
        <f t="shared" si="24"/>
        <v>11008.592036868715</v>
      </c>
      <c r="Q57" s="24">
        <f t="shared" ref="Q57:R57" si="26">Q55*Q53</f>
        <v>1817.2704354663781</v>
      </c>
      <c r="R57" s="24">
        <f t="shared" si="26"/>
        <v>0</v>
      </c>
    </row>
    <row r="58" spans="3:18" outlineLevel="1" x14ac:dyDescent="0.35">
      <c r="C58" s="15" t="s">
        <v>10</v>
      </c>
      <c r="D58" s="15" t="s">
        <v>63</v>
      </c>
      <c r="E58" s="30">
        <f>E50+E57</f>
        <v>7377.2148986316779</v>
      </c>
      <c r="F58" s="30">
        <f>F50+F57</f>
        <v>7377.2148986316779</v>
      </c>
      <c r="G58" s="30">
        <f>G50+G57</f>
        <v>8504.5930730128403</v>
      </c>
      <c r="H58" s="30">
        <f>H50+H57</f>
        <v>6600.5770383566578</v>
      </c>
      <c r="I58" s="18"/>
      <c r="J58" s="18"/>
      <c r="K58" s="18"/>
      <c r="L58" s="18"/>
      <c r="M58" s="18"/>
      <c r="N58" s="30">
        <f>N50+N57</f>
        <v>37895.272168272968</v>
      </c>
      <c r="O58" s="30">
        <f>O50+O57</f>
        <v>59693.280132743224</v>
      </c>
      <c r="P58" s="30">
        <f>P50+P57</f>
        <v>24601.424938724602</v>
      </c>
      <c r="Q58" s="30">
        <f>Q50+Q57</f>
        <v>29961.701148676853</v>
      </c>
      <c r="R58" s="30">
        <f>R50+R57</f>
        <v>0</v>
      </c>
    </row>
    <row r="59" spans="3:18" outlineLevel="1" x14ac:dyDescent="0.35"/>
    <row r="60" spans="3:18" outlineLevel="1" x14ac:dyDescent="0.35">
      <c r="C60" s="15" t="s">
        <v>119</v>
      </c>
      <c r="D60" s="15" t="s">
        <v>96</v>
      </c>
      <c r="E60" s="25">
        <f>E14</f>
        <v>192720</v>
      </c>
      <c r="F60" s="25">
        <f>F14</f>
        <v>192720</v>
      </c>
      <c r="G60" s="25">
        <f>G14</f>
        <v>183960</v>
      </c>
      <c r="H60" s="25">
        <f>H14</f>
        <v>221628</v>
      </c>
      <c r="N60" s="25">
        <f>N14</f>
        <v>788400</v>
      </c>
      <c r="O60" s="25">
        <f>O14</f>
        <v>700800</v>
      </c>
      <c r="P60" s="25">
        <f>P14</f>
        <v>788400</v>
      </c>
      <c r="Q60" s="25">
        <f>Q14</f>
        <v>438000</v>
      </c>
      <c r="R60" s="25">
        <f>R14</f>
        <v>0</v>
      </c>
    </row>
    <row r="61" spans="3:18" outlineLevel="1" x14ac:dyDescent="0.35"/>
    <row r="62" spans="3:18" outlineLevel="1" x14ac:dyDescent="0.35">
      <c r="C62" s="15" t="s">
        <v>114</v>
      </c>
      <c r="D62" s="15" t="s">
        <v>11</v>
      </c>
      <c r="E62" s="18">
        <f>E58/E60*1000</f>
        <v>38.279446339931908</v>
      </c>
      <c r="F62" s="18">
        <f t="shared" ref="F62:G62" si="27">F58/F60*1000</f>
        <v>38.279446339931908</v>
      </c>
      <c r="G62" s="18">
        <f t="shared" si="27"/>
        <v>46.23066467173755</v>
      </c>
      <c r="H62" s="18">
        <f t="shared" ref="H62" si="28">H58/H60*1000</f>
        <v>29.782234367303129</v>
      </c>
      <c r="I62" s="18"/>
      <c r="J62" s="18"/>
      <c r="K62" s="18"/>
      <c r="L62" s="18"/>
      <c r="M62" s="18"/>
      <c r="N62" s="18">
        <f t="shared" ref="N62:P62" si="29">N58/N60*1000</f>
        <v>48.066047904963177</v>
      </c>
      <c r="O62" s="18">
        <f t="shared" si="29"/>
        <v>85.17876731270438</v>
      </c>
      <c r="P62" s="18">
        <f t="shared" si="29"/>
        <v>31.204242692446222</v>
      </c>
      <c r="Q62" s="18">
        <f t="shared" ref="Q62:R62" si="30">Q58/Q60*1000</f>
        <v>68.405710385106971</v>
      </c>
      <c r="R62" s="18" t="e">
        <f t="shared" si="30"/>
        <v>#DIV/0!</v>
      </c>
    </row>
    <row r="63" spans="3:18" outlineLevel="1" x14ac:dyDescent="0.35">
      <c r="C63" s="15" t="s">
        <v>12</v>
      </c>
      <c r="D63" s="15" t="s">
        <v>13</v>
      </c>
      <c r="E63" s="19">
        <f>E62/1000*100</f>
        <v>3.8279446339931908</v>
      </c>
      <c r="F63" s="19">
        <f>F62/1000*100</f>
        <v>3.8279446339931908</v>
      </c>
      <c r="G63" s="19">
        <f>G62/1000*100</f>
        <v>4.6230664671737554</v>
      </c>
      <c r="H63" s="19">
        <f>H62/1000*100</f>
        <v>2.9782234367303131</v>
      </c>
      <c r="I63" s="19"/>
      <c r="J63" s="19"/>
      <c r="K63" s="19"/>
      <c r="L63" s="19"/>
      <c r="M63" s="19"/>
      <c r="N63" s="19">
        <f>N62/1000*100</f>
        <v>4.8066047904963174</v>
      </c>
      <c r="O63" s="19">
        <f>O62/1000*100</f>
        <v>8.5178767312704373</v>
      </c>
      <c r="P63" s="19">
        <f>P62/1000*100</f>
        <v>3.120424269244622</v>
      </c>
      <c r="Q63" s="19">
        <f>Q62/1000*100</f>
        <v>6.8405710385106966</v>
      </c>
      <c r="R63" s="19" t="e">
        <f>R62/1000*100</f>
        <v>#DIV/0!</v>
      </c>
    </row>
    <row r="64" spans="3:18" outlineLevel="1" x14ac:dyDescent="0.35"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</row>
    <row r="65" spans="2:1009" outlineLevel="1" x14ac:dyDescent="0.35">
      <c r="C65" s="15" t="s">
        <v>135</v>
      </c>
      <c r="D65" s="15" t="s">
        <v>63</v>
      </c>
      <c r="E65" s="19">
        <f>E18*E48</f>
        <v>2659.3358694482758</v>
      </c>
      <c r="F65" s="19">
        <f t="shared" ref="F65:G65" si="31">F18*F48</f>
        <v>2659.3358694482758</v>
      </c>
      <c r="G65" s="19">
        <f t="shared" si="31"/>
        <v>5918.280725241475</v>
      </c>
      <c r="H65" s="19">
        <f t="shared" ref="H65" si="32">H18*H48</f>
        <v>4380.603787719645</v>
      </c>
      <c r="I65" s="19"/>
      <c r="J65" s="19"/>
      <c r="K65" s="19"/>
      <c r="L65" s="19"/>
      <c r="M65" s="19"/>
      <c r="N65" s="19"/>
      <c r="O65" s="19"/>
      <c r="P65" s="19"/>
    </row>
    <row r="66" spans="2:1009" outlineLevel="1" x14ac:dyDescent="0.35">
      <c r="C66" s="15" t="s">
        <v>9</v>
      </c>
      <c r="D66" s="15" t="s">
        <v>63</v>
      </c>
      <c r="E66" s="19">
        <f>E37</f>
        <v>1500</v>
      </c>
      <c r="F66" s="19">
        <f t="shared" ref="F66:G66" si="33">F37</f>
        <v>1500</v>
      </c>
      <c r="G66" s="19">
        <f t="shared" si="33"/>
        <v>950</v>
      </c>
      <c r="H66" s="19">
        <f t="shared" ref="H66" si="34">H37</f>
        <v>950</v>
      </c>
      <c r="I66" s="19"/>
      <c r="J66" s="19"/>
      <c r="K66" s="19"/>
      <c r="L66" s="19"/>
      <c r="M66" s="19"/>
      <c r="N66" s="19"/>
      <c r="O66" s="19"/>
      <c r="P66" s="19"/>
    </row>
    <row r="67" spans="2:1009" outlineLevel="1" x14ac:dyDescent="0.35">
      <c r="C67" s="15" t="s">
        <v>10</v>
      </c>
      <c r="D67" s="15" t="s">
        <v>63</v>
      </c>
      <c r="E67" s="19">
        <f>SUM(E65:E66)</f>
        <v>4159.3358694482758</v>
      </c>
      <c r="F67" s="19">
        <f t="shared" ref="F67:G67" si="35">SUM(F65:F66)</f>
        <v>4159.3358694482758</v>
      </c>
      <c r="G67" s="19">
        <f t="shared" si="35"/>
        <v>6868.280725241475</v>
      </c>
      <c r="H67" s="19">
        <f t="shared" ref="H67" si="36">SUM(H65:H66)</f>
        <v>5330.603787719645</v>
      </c>
      <c r="I67" s="19"/>
      <c r="J67" s="19"/>
      <c r="K67" s="19"/>
      <c r="L67" s="19"/>
      <c r="M67" s="19"/>
      <c r="N67" s="19"/>
      <c r="O67" s="19"/>
      <c r="P67" s="19"/>
    </row>
    <row r="68" spans="2:1009" outlineLevel="1" x14ac:dyDescent="0.35"/>
    <row r="69" spans="2:1009" outlineLevel="1" x14ac:dyDescent="0.35">
      <c r="C69" s="15" t="s">
        <v>136</v>
      </c>
      <c r="D69" s="15" t="s">
        <v>11</v>
      </c>
      <c r="E69" s="27">
        <f>E67/E60*1000</f>
        <v>21.582274125406162</v>
      </c>
      <c r="F69" s="27">
        <f t="shared" ref="F69:G69" si="37">F67/F60*1000</f>
        <v>21.582274125406162</v>
      </c>
      <c r="G69" s="27">
        <f t="shared" si="37"/>
        <v>37.335729100029759</v>
      </c>
      <c r="H69" s="27">
        <f t="shared" ref="H69" si="38">H67/H60*1000</f>
        <v>24.052032178784472</v>
      </c>
    </row>
    <row r="70" spans="2:1009" outlineLevel="1" x14ac:dyDescent="0.35"/>
    <row r="71" spans="2:1009" x14ac:dyDescent="0.35">
      <c r="B71" s="4" t="s">
        <v>16</v>
      </c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</row>
    <row r="72" spans="2:1009" x14ac:dyDescent="0.35">
      <c r="C72" s="15" t="s">
        <v>17</v>
      </c>
      <c r="E72" s="31">
        <v>0</v>
      </c>
      <c r="F72" s="31">
        <v>1</v>
      </c>
      <c r="G72" s="31">
        <v>2</v>
      </c>
      <c r="H72" s="31">
        <v>3</v>
      </c>
      <c r="I72" s="31">
        <v>4</v>
      </c>
      <c r="J72" s="31">
        <v>5</v>
      </c>
      <c r="K72" s="31">
        <v>6</v>
      </c>
      <c r="L72" s="31">
        <v>7</v>
      </c>
      <c r="M72" s="31">
        <v>8</v>
      </c>
      <c r="N72" s="31">
        <v>9</v>
      </c>
      <c r="O72" s="31">
        <v>10</v>
      </c>
      <c r="P72" s="31">
        <v>11</v>
      </c>
      <c r="Q72" s="31">
        <v>12</v>
      </c>
      <c r="R72" s="31">
        <v>13</v>
      </c>
      <c r="S72" s="31">
        <v>14</v>
      </c>
      <c r="T72" s="31">
        <v>15</v>
      </c>
      <c r="U72" s="31">
        <v>16</v>
      </c>
      <c r="V72" s="31">
        <v>17</v>
      </c>
      <c r="W72" s="31">
        <v>18</v>
      </c>
      <c r="X72" s="31">
        <v>19</v>
      </c>
      <c r="Y72" s="31">
        <v>20</v>
      </c>
      <c r="Z72" s="31">
        <v>21</v>
      </c>
      <c r="AA72" s="31">
        <v>22</v>
      </c>
      <c r="AB72" s="31">
        <v>23</v>
      </c>
      <c r="AC72" s="31">
        <v>24</v>
      </c>
      <c r="AD72" s="31">
        <v>25</v>
      </c>
      <c r="AE72" s="31">
        <v>26</v>
      </c>
      <c r="AF72" s="31">
        <v>27</v>
      </c>
      <c r="AG72" s="31">
        <v>28</v>
      </c>
      <c r="AH72" s="31">
        <v>29</v>
      </c>
      <c r="AI72" s="31">
        <v>30</v>
      </c>
      <c r="AJ72" s="31">
        <v>31</v>
      </c>
      <c r="AK72" s="31">
        <v>32</v>
      </c>
      <c r="AL72" s="31">
        <v>33</v>
      </c>
      <c r="AM72" s="31">
        <v>34</v>
      </c>
      <c r="AN72" s="31">
        <v>35</v>
      </c>
      <c r="AO72" s="31">
        <v>36</v>
      </c>
      <c r="AP72" s="31">
        <v>37</v>
      </c>
      <c r="AQ72" s="31">
        <v>38</v>
      </c>
      <c r="AR72" s="31">
        <v>39</v>
      </c>
      <c r="AS72" s="31">
        <v>40</v>
      </c>
      <c r="AT72" s="31">
        <v>41</v>
      </c>
      <c r="AU72" s="31">
        <v>42</v>
      </c>
      <c r="AV72" s="31">
        <v>43</v>
      </c>
      <c r="AW72" s="31">
        <v>44</v>
      </c>
      <c r="AX72" s="31">
        <v>45</v>
      </c>
      <c r="AY72" s="31">
        <v>46</v>
      </c>
      <c r="AZ72" s="31">
        <v>47</v>
      </c>
      <c r="BA72" s="31">
        <v>48</v>
      </c>
      <c r="BB72" s="31">
        <v>49</v>
      </c>
      <c r="BC72" s="31">
        <v>50</v>
      </c>
      <c r="BD72" s="31">
        <v>51</v>
      </c>
      <c r="BE72" s="31">
        <v>52</v>
      </c>
      <c r="BF72" s="31">
        <v>53</v>
      </c>
      <c r="BG72" s="31">
        <v>54</v>
      </c>
      <c r="BH72" s="31">
        <v>55</v>
      </c>
      <c r="BI72" s="31">
        <v>56</v>
      </c>
      <c r="BJ72" s="31">
        <v>57</v>
      </c>
      <c r="BK72" s="31">
        <v>58</v>
      </c>
      <c r="BL72" s="31">
        <v>59</v>
      </c>
      <c r="BM72" s="31">
        <v>60</v>
      </c>
      <c r="BN72" s="31">
        <v>61</v>
      </c>
      <c r="BO72" s="31">
        <v>62</v>
      </c>
      <c r="BP72" s="31">
        <v>63</v>
      </c>
      <c r="BQ72" s="31">
        <v>64</v>
      </c>
      <c r="BR72" s="31">
        <v>65</v>
      </c>
      <c r="BS72" s="31">
        <v>66</v>
      </c>
      <c r="BT72" s="31">
        <v>67</v>
      </c>
      <c r="BU72" s="31">
        <v>68</v>
      </c>
      <c r="BV72" s="31">
        <v>69</v>
      </c>
      <c r="BW72" s="31">
        <v>70</v>
      </c>
      <c r="BX72" s="31">
        <v>71</v>
      </c>
      <c r="BY72" s="31">
        <v>72</v>
      </c>
      <c r="BZ72" s="31">
        <v>73</v>
      </c>
      <c r="CA72" s="31">
        <v>74</v>
      </c>
      <c r="CB72" s="31">
        <v>75</v>
      </c>
      <c r="CC72" s="31">
        <v>76</v>
      </c>
      <c r="CD72" s="31">
        <v>77</v>
      </c>
      <c r="CE72" s="31">
        <v>78</v>
      </c>
      <c r="CF72" s="31">
        <v>79</v>
      </c>
      <c r="CG72" s="31">
        <v>80</v>
      </c>
      <c r="CH72" s="31">
        <v>81</v>
      </c>
      <c r="CI72" s="31">
        <v>82</v>
      </c>
      <c r="CJ72" s="31">
        <v>83</v>
      </c>
      <c r="CK72" s="31">
        <v>84</v>
      </c>
      <c r="CL72" s="31">
        <v>85</v>
      </c>
      <c r="CM72" s="31">
        <v>86</v>
      </c>
      <c r="CN72" s="31">
        <v>87</v>
      </c>
      <c r="CO72" s="31">
        <v>88</v>
      </c>
      <c r="CP72" s="31">
        <v>89</v>
      </c>
      <c r="CQ72" s="31">
        <v>90</v>
      </c>
      <c r="CR72" s="31">
        <v>91</v>
      </c>
      <c r="CS72" s="31">
        <v>92</v>
      </c>
      <c r="CT72" s="31">
        <v>93</v>
      </c>
      <c r="CU72" s="31">
        <v>94</v>
      </c>
      <c r="CV72" s="31">
        <v>95</v>
      </c>
      <c r="CW72" s="31">
        <v>96</v>
      </c>
      <c r="CX72" s="31">
        <v>97</v>
      </c>
      <c r="CY72" s="31">
        <v>98</v>
      </c>
      <c r="CZ72" s="31">
        <v>99</v>
      </c>
      <c r="DA72" s="31">
        <v>100</v>
      </c>
    </row>
    <row r="73" spans="2:1009" x14ac:dyDescent="0.35">
      <c r="C73" s="15" t="s">
        <v>120</v>
      </c>
      <c r="D73" s="15">
        <f>E39</f>
        <v>30</v>
      </c>
      <c r="F73" s="15" t="b">
        <f>F72&lt;=$D$73</f>
        <v>1</v>
      </c>
      <c r="G73" s="15" t="b">
        <f t="shared" ref="G73:BR73" si="39">G72&lt;=$D$73</f>
        <v>1</v>
      </c>
      <c r="H73" s="15" t="b">
        <f t="shared" si="39"/>
        <v>1</v>
      </c>
      <c r="I73" s="15" t="b">
        <f t="shared" si="39"/>
        <v>1</v>
      </c>
      <c r="J73" s="15" t="b">
        <f t="shared" si="39"/>
        <v>1</v>
      </c>
      <c r="K73" s="15" t="b">
        <f t="shared" si="39"/>
        <v>1</v>
      </c>
      <c r="L73" s="15" t="b">
        <f t="shared" si="39"/>
        <v>1</v>
      </c>
      <c r="M73" s="15" t="b">
        <f t="shared" si="39"/>
        <v>1</v>
      </c>
      <c r="N73" s="15" t="b">
        <f t="shared" si="39"/>
        <v>1</v>
      </c>
      <c r="O73" s="15" t="b">
        <f t="shared" si="39"/>
        <v>1</v>
      </c>
      <c r="P73" s="15" t="b">
        <f t="shared" si="39"/>
        <v>1</v>
      </c>
      <c r="Q73" s="15" t="b">
        <f t="shared" si="39"/>
        <v>1</v>
      </c>
      <c r="R73" s="15" t="b">
        <f t="shared" si="39"/>
        <v>1</v>
      </c>
      <c r="S73" s="15" t="b">
        <f t="shared" si="39"/>
        <v>1</v>
      </c>
      <c r="T73" s="15" t="b">
        <f t="shared" si="39"/>
        <v>1</v>
      </c>
      <c r="U73" s="15" t="b">
        <f t="shared" si="39"/>
        <v>1</v>
      </c>
      <c r="V73" s="15" t="b">
        <f t="shared" si="39"/>
        <v>1</v>
      </c>
      <c r="W73" s="15" t="b">
        <f t="shared" si="39"/>
        <v>1</v>
      </c>
      <c r="X73" s="15" t="b">
        <f t="shared" si="39"/>
        <v>1</v>
      </c>
      <c r="Y73" s="15" t="b">
        <f t="shared" si="39"/>
        <v>1</v>
      </c>
      <c r="Z73" s="15" t="b">
        <f t="shared" si="39"/>
        <v>1</v>
      </c>
      <c r="AA73" s="15" t="b">
        <f t="shared" si="39"/>
        <v>1</v>
      </c>
      <c r="AB73" s="15" t="b">
        <f t="shared" si="39"/>
        <v>1</v>
      </c>
      <c r="AC73" s="15" t="b">
        <f t="shared" si="39"/>
        <v>1</v>
      </c>
      <c r="AD73" s="15" t="b">
        <f t="shared" si="39"/>
        <v>1</v>
      </c>
      <c r="AE73" s="15" t="b">
        <f t="shared" si="39"/>
        <v>1</v>
      </c>
      <c r="AF73" s="15" t="b">
        <f t="shared" si="39"/>
        <v>1</v>
      </c>
      <c r="AG73" s="15" t="b">
        <f t="shared" si="39"/>
        <v>1</v>
      </c>
      <c r="AH73" s="15" t="b">
        <f t="shared" si="39"/>
        <v>1</v>
      </c>
      <c r="AI73" s="15" t="b">
        <f t="shared" si="39"/>
        <v>1</v>
      </c>
      <c r="AJ73" s="15" t="b">
        <f t="shared" si="39"/>
        <v>0</v>
      </c>
      <c r="AK73" s="15" t="b">
        <f t="shared" si="39"/>
        <v>0</v>
      </c>
      <c r="AL73" s="15" t="b">
        <f t="shared" si="39"/>
        <v>0</v>
      </c>
      <c r="AM73" s="15" t="b">
        <f t="shared" si="39"/>
        <v>0</v>
      </c>
      <c r="AN73" s="15" t="b">
        <f t="shared" si="39"/>
        <v>0</v>
      </c>
      <c r="AO73" s="15" t="b">
        <f t="shared" si="39"/>
        <v>0</v>
      </c>
      <c r="AP73" s="15" t="b">
        <f t="shared" si="39"/>
        <v>0</v>
      </c>
      <c r="AQ73" s="15" t="b">
        <f t="shared" si="39"/>
        <v>0</v>
      </c>
      <c r="AR73" s="15" t="b">
        <f t="shared" si="39"/>
        <v>0</v>
      </c>
      <c r="AS73" s="15" t="b">
        <f t="shared" si="39"/>
        <v>0</v>
      </c>
      <c r="AT73" s="15" t="b">
        <f t="shared" si="39"/>
        <v>0</v>
      </c>
      <c r="AU73" s="15" t="b">
        <f t="shared" si="39"/>
        <v>0</v>
      </c>
      <c r="AV73" s="15" t="b">
        <f t="shared" si="39"/>
        <v>0</v>
      </c>
      <c r="AW73" s="15" t="b">
        <f t="shared" si="39"/>
        <v>0</v>
      </c>
      <c r="AX73" s="15" t="b">
        <f t="shared" si="39"/>
        <v>0</v>
      </c>
      <c r="AY73" s="15" t="b">
        <f t="shared" si="39"/>
        <v>0</v>
      </c>
      <c r="AZ73" s="15" t="b">
        <f t="shared" si="39"/>
        <v>0</v>
      </c>
      <c r="BA73" s="15" t="b">
        <f t="shared" si="39"/>
        <v>0</v>
      </c>
      <c r="BB73" s="15" t="b">
        <f t="shared" si="39"/>
        <v>0</v>
      </c>
      <c r="BC73" s="15" t="b">
        <f t="shared" si="39"/>
        <v>0</v>
      </c>
      <c r="BD73" s="15" t="b">
        <f t="shared" si="39"/>
        <v>0</v>
      </c>
      <c r="BE73" s="15" t="b">
        <f t="shared" si="39"/>
        <v>0</v>
      </c>
      <c r="BF73" s="15" t="b">
        <f t="shared" si="39"/>
        <v>0</v>
      </c>
      <c r="BG73" s="15" t="b">
        <f t="shared" si="39"/>
        <v>0</v>
      </c>
      <c r="BH73" s="15" t="b">
        <f t="shared" si="39"/>
        <v>0</v>
      </c>
      <c r="BI73" s="15" t="b">
        <f t="shared" si="39"/>
        <v>0</v>
      </c>
      <c r="BJ73" s="15" t="b">
        <f t="shared" si="39"/>
        <v>0</v>
      </c>
      <c r="BK73" s="15" t="b">
        <f t="shared" si="39"/>
        <v>0</v>
      </c>
      <c r="BL73" s="15" t="b">
        <f t="shared" si="39"/>
        <v>0</v>
      </c>
      <c r="BM73" s="15" t="b">
        <f t="shared" si="39"/>
        <v>0</v>
      </c>
      <c r="BN73" s="15" t="b">
        <f t="shared" si="39"/>
        <v>0</v>
      </c>
      <c r="BO73" s="15" t="b">
        <f t="shared" si="39"/>
        <v>0</v>
      </c>
      <c r="BP73" s="15" t="b">
        <f t="shared" si="39"/>
        <v>0</v>
      </c>
      <c r="BQ73" s="15" t="b">
        <f t="shared" si="39"/>
        <v>0</v>
      </c>
      <c r="BR73" s="15" t="b">
        <f t="shared" si="39"/>
        <v>0</v>
      </c>
      <c r="BS73" s="15" t="b">
        <f t="shared" ref="BS73:DA73" si="40">BS72&lt;=$D$73</f>
        <v>0</v>
      </c>
      <c r="BT73" s="15" t="b">
        <f t="shared" si="40"/>
        <v>0</v>
      </c>
      <c r="BU73" s="15" t="b">
        <f t="shared" si="40"/>
        <v>0</v>
      </c>
      <c r="BV73" s="15" t="b">
        <f t="shared" si="40"/>
        <v>0</v>
      </c>
      <c r="BW73" s="15" t="b">
        <f t="shared" si="40"/>
        <v>0</v>
      </c>
      <c r="BX73" s="15" t="b">
        <f t="shared" si="40"/>
        <v>0</v>
      </c>
      <c r="BY73" s="15" t="b">
        <f t="shared" si="40"/>
        <v>0</v>
      </c>
      <c r="BZ73" s="15" t="b">
        <f t="shared" si="40"/>
        <v>0</v>
      </c>
      <c r="CA73" s="15" t="b">
        <f t="shared" si="40"/>
        <v>0</v>
      </c>
      <c r="CB73" s="15" t="b">
        <f t="shared" si="40"/>
        <v>0</v>
      </c>
      <c r="CC73" s="15" t="b">
        <f t="shared" si="40"/>
        <v>0</v>
      </c>
      <c r="CD73" s="15" t="b">
        <f t="shared" si="40"/>
        <v>0</v>
      </c>
      <c r="CE73" s="15" t="b">
        <f t="shared" si="40"/>
        <v>0</v>
      </c>
      <c r="CF73" s="15" t="b">
        <f t="shared" si="40"/>
        <v>0</v>
      </c>
      <c r="CG73" s="15" t="b">
        <f t="shared" si="40"/>
        <v>0</v>
      </c>
      <c r="CH73" s="15" t="b">
        <f t="shared" si="40"/>
        <v>0</v>
      </c>
      <c r="CI73" s="15" t="b">
        <f t="shared" si="40"/>
        <v>0</v>
      </c>
      <c r="CJ73" s="15" t="b">
        <f t="shared" si="40"/>
        <v>0</v>
      </c>
      <c r="CK73" s="15" t="b">
        <f t="shared" si="40"/>
        <v>0</v>
      </c>
      <c r="CL73" s="15" t="b">
        <f t="shared" si="40"/>
        <v>0</v>
      </c>
      <c r="CM73" s="15" t="b">
        <f t="shared" si="40"/>
        <v>0</v>
      </c>
      <c r="CN73" s="15" t="b">
        <f t="shared" si="40"/>
        <v>0</v>
      </c>
      <c r="CO73" s="15" t="b">
        <f t="shared" si="40"/>
        <v>0</v>
      </c>
      <c r="CP73" s="15" t="b">
        <f t="shared" si="40"/>
        <v>0</v>
      </c>
      <c r="CQ73" s="15" t="b">
        <f t="shared" si="40"/>
        <v>0</v>
      </c>
      <c r="CR73" s="15" t="b">
        <f t="shared" si="40"/>
        <v>0</v>
      </c>
      <c r="CS73" s="15" t="b">
        <f t="shared" si="40"/>
        <v>0</v>
      </c>
      <c r="CT73" s="15" t="b">
        <f t="shared" si="40"/>
        <v>0</v>
      </c>
      <c r="CU73" s="15" t="b">
        <f t="shared" si="40"/>
        <v>0</v>
      </c>
      <c r="CV73" s="15" t="b">
        <f t="shared" si="40"/>
        <v>0</v>
      </c>
      <c r="CW73" s="15" t="b">
        <f t="shared" si="40"/>
        <v>0</v>
      </c>
      <c r="CX73" s="15" t="b">
        <f t="shared" si="40"/>
        <v>0</v>
      </c>
      <c r="CY73" s="15" t="b">
        <f t="shared" si="40"/>
        <v>0</v>
      </c>
      <c r="CZ73" s="15" t="b">
        <f t="shared" si="40"/>
        <v>0</v>
      </c>
      <c r="DA73" s="15" t="b">
        <f t="shared" si="40"/>
        <v>0</v>
      </c>
    </row>
    <row r="75" spans="2:1009" x14ac:dyDescent="0.35">
      <c r="C75" s="15" t="s">
        <v>137</v>
      </c>
      <c r="D75" s="16">
        <f>E40</f>
        <v>0.05</v>
      </c>
      <c r="E75" s="15">
        <v>1</v>
      </c>
      <c r="F75" s="19">
        <f>E75*(1+$D$75)</f>
        <v>1.05</v>
      </c>
      <c r="G75" s="19">
        <f t="shared" ref="G75:BR75" si="41">F75*(1+$D$75)</f>
        <v>1.1025</v>
      </c>
      <c r="H75" s="19">
        <f t="shared" si="41"/>
        <v>1.1576250000000001</v>
      </c>
      <c r="I75" s="19">
        <f t="shared" si="41"/>
        <v>1.2155062500000002</v>
      </c>
      <c r="J75" s="19">
        <f t="shared" si="41"/>
        <v>1.2762815625000004</v>
      </c>
      <c r="K75" s="19">
        <f t="shared" si="41"/>
        <v>1.3400956406250004</v>
      </c>
      <c r="L75" s="19">
        <f t="shared" si="41"/>
        <v>1.4071004226562505</v>
      </c>
      <c r="M75" s="19">
        <f t="shared" si="41"/>
        <v>1.477455443789063</v>
      </c>
      <c r="N75" s="19">
        <f t="shared" si="41"/>
        <v>1.5513282159785162</v>
      </c>
      <c r="O75" s="19">
        <f t="shared" si="41"/>
        <v>1.628894626777442</v>
      </c>
      <c r="P75" s="19">
        <f t="shared" si="41"/>
        <v>1.7103393581163142</v>
      </c>
      <c r="Q75" s="19">
        <f t="shared" si="41"/>
        <v>1.7958563260221301</v>
      </c>
      <c r="R75" s="19">
        <f t="shared" si="41"/>
        <v>1.8856491423232367</v>
      </c>
      <c r="S75" s="19">
        <f t="shared" si="41"/>
        <v>1.9799315994393987</v>
      </c>
      <c r="T75" s="19">
        <f t="shared" si="41"/>
        <v>2.0789281794113688</v>
      </c>
      <c r="U75" s="19">
        <f t="shared" si="41"/>
        <v>2.1828745883819374</v>
      </c>
      <c r="V75" s="19">
        <f t="shared" si="41"/>
        <v>2.2920183178010345</v>
      </c>
      <c r="W75" s="19">
        <f t="shared" si="41"/>
        <v>2.4066192336910861</v>
      </c>
      <c r="X75" s="19">
        <f t="shared" si="41"/>
        <v>2.5269501953756404</v>
      </c>
      <c r="Y75" s="19">
        <f t="shared" si="41"/>
        <v>2.6532977051444226</v>
      </c>
      <c r="Z75" s="19">
        <f t="shared" si="41"/>
        <v>2.7859625904016441</v>
      </c>
      <c r="AA75" s="19">
        <f t="shared" si="41"/>
        <v>2.9252607199217264</v>
      </c>
      <c r="AB75" s="19">
        <f t="shared" si="41"/>
        <v>3.0715237559178128</v>
      </c>
      <c r="AC75" s="19">
        <f t="shared" si="41"/>
        <v>3.2250999437137038</v>
      </c>
      <c r="AD75" s="19">
        <f t="shared" si="41"/>
        <v>3.3863549408993889</v>
      </c>
      <c r="AE75" s="19">
        <f t="shared" si="41"/>
        <v>3.5556726879443583</v>
      </c>
      <c r="AF75" s="19">
        <f t="shared" si="41"/>
        <v>3.7334563223415764</v>
      </c>
      <c r="AG75" s="19">
        <f t="shared" si="41"/>
        <v>3.9201291384586554</v>
      </c>
      <c r="AH75" s="19">
        <f t="shared" si="41"/>
        <v>4.1161355953815884</v>
      </c>
      <c r="AI75" s="19">
        <f t="shared" si="41"/>
        <v>4.3219423751506678</v>
      </c>
      <c r="AJ75" s="19">
        <f t="shared" si="41"/>
        <v>4.5380394939082018</v>
      </c>
      <c r="AK75" s="19">
        <f t="shared" si="41"/>
        <v>4.7649414686036122</v>
      </c>
      <c r="AL75" s="19">
        <f t="shared" si="41"/>
        <v>5.0031885420337927</v>
      </c>
      <c r="AM75" s="19">
        <f t="shared" si="41"/>
        <v>5.2533479691354827</v>
      </c>
      <c r="AN75" s="19">
        <f t="shared" si="41"/>
        <v>5.5160153675922574</v>
      </c>
      <c r="AO75" s="19">
        <f t="shared" si="41"/>
        <v>5.7918161359718709</v>
      </c>
      <c r="AP75" s="19">
        <f t="shared" si="41"/>
        <v>6.0814069427704647</v>
      </c>
      <c r="AQ75" s="19">
        <f t="shared" si="41"/>
        <v>6.3854772899089882</v>
      </c>
      <c r="AR75" s="19">
        <f t="shared" si="41"/>
        <v>6.7047511544044376</v>
      </c>
      <c r="AS75" s="19">
        <f t="shared" si="41"/>
        <v>7.0399887121246598</v>
      </c>
      <c r="AT75" s="19">
        <f t="shared" si="41"/>
        <v>7.3919881477308929</v>
      </c>
      <c r="AU75" s="19">
        <f t="shared" si="41"/>
        <v>7.7615875551174378</v>
      </c>
      <c r="AV75" s="19">
        <f t="shared" si="41"/>
        <v>8.1496669328733109</v>
      </c>
      <c r="AW75" s="19">
        <f t="shared" si="41"/>
        <v>8.5571502795169767</v>
      </c>
      <c r="AX75" s="19">
        <f t="shared" si="41"/>
        <v>8.9850077934928265</v>
      </c>
      <c r="AY75" s="19">
        <f t="shared" si="41"/>
        <v>9.4342581831674686</v>
      </c>
      <c r="AZ75" s="19">
        <f t="shared" si="41"/>
        <v>9.9059710923258422</v>
      </c>
      <c r="BA75" s="19">
        <f t="shared" si="41"/>
        <v>10.401269646942135</v>
      </c>
      <c r="BB75" s="19">
        <f t="shared" si="41"/>
        <v>10.921333129289241</v>
      </c>
      <c r="BC75" s="19">
        <f t="shared" si="41"/>
        <v>11.467399785753704</v>
      </c>
      <c r="BD75" s="19">
        <f t="shared" si="41"/>
        <v>12.04076977504139</v>
      </c>
      <c r="BE75" s="19">
        <f t="shared" si="41"/>
        <v>12.64280826379346</v>
      </c>
      <c r="BF75" s="19">
        <f t="shared" si="41"/>
        <v>13.274948676983135</v>
      </c>
      <c r="BG75" s="19">
        <f t="shared" si="41"/>
        <v>13.938696110832291</v>
      </c>
      <c r="BH75" s="19">
        <f t="shared" si="41"/>
        <v>14.635630916373906</v>
      </c>
      <c r="BI75" s="19">
        <f t="shared" si="41"/>
        <v>15.367412462192602</v>
      </c>
      <c r="BJ75" s="19">
        <f t="shared" si="41"/>
        <v>16.135783085302233</v>
      </c>
      <c r="BK75" s="19">
        <f t="shared" si="41"/>
        <v>16.942572239567344</v>
      </c>
      <c r="BL75" s="19">
        <f t="shared" si="41"/>
        <v>17.78970085154571</v>
      </c>
      <c r="BM75" s="19">
        <f t="shared" si="41"/>
        <v>18.679185894122998</v>
      </c>
      <c r="BN75" s="19">
        <f t="shared" si="41"/>
        <v>19.613145188829147</v>
      </c>
      <c r="BO75" s="19">
        <f t="shared" si="41"/>
        <v>20.593802448270605</v>
      </c>
      <c r="BP75" s="19">
        <f t="shared" si="41"/>
        <v>21.623492570684135</v>
      </c>
      <c r="BQ75" s="19">
        <f t="shared" si="41"/>
        <v>22.704667199218342</v>
      </c>
      <c r="BR75" s="19">
        <f t="shared" si="41"/>
        <v>23.839900559179259</v>
      </c>
      <c r="BS75" s="19">
        <f t="shared" ref="BS75:DA75" si="42">BR75*(1+$D$75)</f>
        <v>25.031895587138223</v>
      </c>
      <c r="BT75" s="19">
        <f t="shared" si="42"/>
        <v>26.283490366495137</v>
      </c>
      <c r="BU75" s="19">
        <f t="shared" si="42"/>
        <v>27.597664884819896</v>
      </c>
      <c r="BV75" s="19">
        <f t="shared" si="42"/>
        <v>28.977548129060892</v>
      </c>
      <c r="BW75" s="19">
        <f t="shared" si="42"/>
        <v>30.426425535513939</v>
      </c>
      <c r="BX75" s="19">
        <f t="shared" si="42"/>
        <v>31.947746812289637</v>
      </c>
      <c r="BY75" s="19">
        <f t="shared" si="42"/>
        <v>33.545134152904119</v>
      </c>
      <c r="BZ75" s="19">
        <f t="shared" si="42"/>
        <v>35.222390860549325</v>
      </c>
      <c r="CA75" s="19">
        <f t="shared" si="42"/>
        <v>36.983510403576794</v>
      </c>
      <c r="CB75" s="19">
        <f t="shared" si="42"/>
        <v>38.832685923755633</v>
      </c>
      <c r="CC75" s="19">
        <f t="shared" si="42"/>
        <v>40.774320219943419</v>
      </c>
      <c r="CD75" s="19">
        <f t="shared" si="42"/>
        <v>42.81303623094059</v>
      </c>
      <c r="CE75" s="19">
        <f t="shared" si="42"/>
        <v>44.95368804248762</v>
      </c>
      <c r="CF75" s="19">
        <f t="shared" si="42"/>
        <v>47.201372444612005</v>
      </c>
      <c r="CG75" s="19">
        <f t="shared" si="42"/>
        <v>49.561441066842605</v>
      </c>
      <c r="CH75" s="19">
        <f t="shared" si="42"/>
        <v>52.039513120184736</v>
      </c>
      <c r="CI75" s="19">
        <f t="shared" si="42"/>
        <v>54.641488776193974</v>
      </c>
      <c r="CJ75" s="19">
        <f t="shared" si="42"/>
        <v>57.373563215003678</v>
      </c>
      <c r="CK75" s="19">
        <f t="shared" si="42"/>
        <v>60.242241375753864</v>
      </c>
      <c r="CL75" s="19">
        <f t="shared" si="42"/>
        <v>63.254353444541557</v>
      </c>
      <c r="CM75" s="19">
        <f t="shared" si="42"/>
        <v>66.417071116768639</v>
      </c>
      <c r="CN75" s="19">
        <f t="shared" si="42"/>
        <v>69.737924672607079</v>
      </c>
      <c r="CO75" s="19">
        <f t="shared" si="42"/>
        <v>73.22482090623744</v>
      </c>
      <c r="CP75" s="19">
        <f t="shared" si="42"/>
        <v>76.886061951549308</v>
      </c>
      <c r="CQ75" s="19">
        <f t="shared" si="42"/>
        <v>80.730365049126775</v>
      </c>
      <c r="CR75" s="19">
        <f t="shared" si="42"/>
        <v>84.766883301583121</v>
      </c>
      <c r="CS75" s="19">
        <f t="shared" si="42"/>
        <v>89.005227466662276</v>
      </c>
      <c r="CT75" s="19">
        <f t="shared" si="42"/>
        <v>93.455488839995397</v>
      </c>
      <c r="CU75" s="19">
        <f t="shared" si="42"/>
        <v>98.128263281995174</v>
      </c>
      <c r="CV75" s="19">
        <f t="shared" si="42"/>
        <v>103.03467644609493</v>
      </c>
      <c r="CW75" s="19">
        <f t="shared" si="42"/>
        <v>108.18641026839968</v>
      </c>
      <c r="CX75" s="19">
        <f t="shared" si="42"/>
        <v>113.59573078181967</v>
      </c>
      <c r="CY75" s="19">
        <f t="shared" si="42"/>
        <v>119.27551732091065</v>
      </c>
      <c r="CZ75" s="19">
        <f t="shared" si="42"/>
        <v>125.23929318695619</v>
      </c>
      <c r="DA75" s="19">
        <f t="shared" si="42"/>
        <v>131.50125784630401</v>
      </c>
    </row>
    <row r="77" spans="2:1009" s="31" customFormat="1" x14ac:dyDescent="0.35">
      <c r="C77" s="31" t="s">
        <v>121</v>
      </c>
      <c r="D77" s="32">
        <f>E14</f>
        <v>192720</v>
      </c>
      <c r="F77" s="32">
        <f>$D$77*F73</f>
        <v>192720</v>
      </c>
      <c r="G77" s="32">
        <f t="shared" ref="G77:BR77" si="43">$D$77*G73</f>
        <v>192720</v>
      </c>
      <c r="H77" s="32">
        <f t="shared" si="43"/>
        <v>192720</v>
      </c>
      <c r="I77" s="32">
        <f t="shared" si="43"/>
        <v>192720</v>
      </c>
      <c r="J77" s="32">
        <f t="shared" si="43"/>
        <v>192720</v>
      </c>
      <c r="K77" s="32">
        <f t="shared" si="43"/>
        <v>192720</v>
      </c>
      <c r="L77" s="32">
        <f t="shared" si="43"/>
        <v>192720</v>
      </c>
      <c r="M77" s="32">
        <f t="shared" si="43"/>
        <v>192720</v>
      </c>
      <c r="N77" s="32">
        <f t="shared" si="43"/>
        <v>192720</v>
      </c>
      <c r="O77" s="32">
        <f t="shared" si="43"/>
        <v>192720</v>
      </c>
      <c r="P77" s="32">
        <f t="shared" si="43"/>
        <v>192720</v>
      </c>
      <c r="Q77" s="32">
        <f t="shared" si="43"/>
        <v>192720</v>
      </c>
      <c r="R77" s="32">
        <f t="shared" si="43"/>
        <v>192720</v>
      </c>
      <c r="S77" s="32">
        <f t="shared" si="43"/>
        <v>192720</v>
      </c>
      <c r="T77" s="32">
        <f t="shared" si="43"/>
        <v>192720</v>
      </c>
      <c r="U77" s="32">
        <f t="shared" si="43"/>
        <v>192720</v>
      </c>
      <c r="V77" s="32">
        <f t="shared" si="43"/>
        <v>192720</v>
      </c>
      <c r="W77" s="32">
        <f t="shared" si="43"/>
        <v>192720</v>
      </c>
      <c r="X77" s="32">
        <f t="shared" si="43"/>
        <v>192720</v>
      </c>
      <c r="Y77" s="32">
        <f t="shared" si="43"/>
        <v>192720</v>
      </c>
      <c r="Z77" s="32">
        <f t="shared" si="43"/>
        <v>192720</v>
      </c>
      <c r="AA77" s="32">
        <f t="shared" si="43"/>
        <v>192720</v>
      </c>
      <c r="AB77" s="32">
        <f t="shared" si="43"/>
        <v>192720</v>
      </c>
      <c r="AC77" s="32">
        <f t="shared" si="43"/>
        <v>192720</v>
      </c>
      <c r="AD77" s="32">
        <f t="shared" si="43"/>
        <v>192720</v>
      </c>
      <c r="AE77" s="32">
        <f t="shared" si="43"/>
        <v>192720</v>
      </c>
      <c r="AF77" s="32">
        <f t="shared" si="43"/>
        <v>192720</v>
      </c>
      <c r="AG77" s="32">
        <f t="shared" si="43"/>
        <v>192720</v>
      </c>
      <c r="AH77" s="32">
        <f t="shared" si="43"/>
        <v>192720</v>
      </c>
      <c r="AI77" s="32">
        <f t="shared" si="43"/>
        <v>192720</v>
      </c>
      <c r="AJ77" s="32">
        <f t="shared" si="43"/>
        <v>0</v>
      </c>
      <c r="AK77" s="32">
        <f t="shared" si="43"/>
        <v>0</v>
      </c>
      <c r="AL77" s="32">
        <f t="shared" si="43"/>
        <v>0</v>
      </c>
      <c r="AM77" s="32">
        <f t="shared" si="43"/>
        <v>0</v>
      </c>
      <c r="AN77" s="32">
        <f t="shared" si="43"/>
        <v>0</v>
      </c>
      <c r="AO77" s="32">
        <f t="shared" si="43"/>
        <v>0</v>
      </c>
      <c r="AP77" s="32">
        <f t="shared" si="43"/>
        <v>0</v>
      </c>
      <c r="AQ77" s="32">
        <f t="shared" si="43"/>
        <v>0</v>
      </c>
      <c r="AR77" s="32">
        <f t="shared" si="43"/>
        <v>0</v>
      </c>
      <c r="AS77" s="32">
        <f t="shared" si="43"/>
        <v>0</v>
      </c>
      <c r="AT77" s="32">
        <f t="shared" si="43"/>
        <v>0</v>
      </c>
      <c r="AU77" s="32">
        <f t="shared" si="43"/>
        <v>0</v>
      </c>
      <c r="AV77" s="32">
        <f t="shared" si="43"/>
        <v>0</v>
      </c>
      <c r="AW77" s="32">
        <f t="shared" si="43"/>
        <v>0</v>
      </c>
      <c r="AX77" s="32">
        <f t="shared" si="43"/>
        <v>0</v>
      </c>
      <c r="AY77" s="32">
        <f t="shared" si="43"/>
        <v>0</v>
      </c>
      <c r="AZ77" s="32">
        <f t="shared" si="43"/>
        <v>0</v>
      </c>
      <c r="BA77" s="32">
        <f t="shared" si="43"/>
        <v>0</v>
      </c>
      <c r="BB77" s="32">
        <f t="shared" si="43"/>
        <v>0</v>
      </c>
      <c r="BC77" s="32">
        <f t="shared" si="43"/>
        <v>0</v>
      </c>
      <c r="BD77" s="32">
        <f t="shared" si="43"/>
        <v>0</v>
      </c>
      <c r="BE77" s="32">
        <f t="shared" si="43"/>
        <v>0</v>
      </c>
      <c r="BF77" s="32">
        <f t="shared" si="43"/>
        <v>0</v>
      </c>
      <c r="BG77" s="32">
        <f t="shared" si="43"/>
        <v>0</v>
      </c>
      <c r="BH77" s="32">
        <f t="shared" si="43"/>
        <v>0</v>
      </c>
      <c r="BI77" s="32">
        <f t="shared" si="43"/>
        <v>0</v>
      </c>
      <c r="BJ77" s="32">
        <f t="shared" si="43"/>
        <v>0</v>
      </c>
      <c r="BK77" s="32">
        <f t="shared" si="43"/>
        <v>0</v>
      </c>
      <c r="BL77" s="32">
        <f t="shared" si="43"/>
        <v>0</v>
      </c>
      <c r="BM77" s="32">
        <f t="shared" si="43"/>
        <v>0</v>
      </c>
      <c r="BN77" s="32">
        <f t="shared" si="43"/>
        <v>0</v>
      </c>
      <c r="BO77" s="32">
        <f t="shared" si="43"/>
        <v>0</v>
      </c>
      <c r="BP77" s="32">
        <f t="shared" si="43"/>
        <v>0</v>
      </c>
      <c r="BQ77" s="32">
        <f t="shared" si="43"/>
        <v>0</v>
      </c>
      <c r="BR77" s="32">
        <f t="shared" si="43"/>
        <v>0</v>
      </c>
      <c r="BS77" s="32">
        <f t="shared" ref="BS77:DA77" si="44">$D$77*BS73</f>
        <v>0</v>
      </c>
      <c r="BT77" s="32">
        <f t="shared" si="44"/>
        <v>0</v>
      </c>
      <c r="BU77" s="32">
        <f t="shared" si="44"/>
        <v>0</v>
      </c>
      <c r="BV77" s="32">
        <f t="shared" si="44"/>
        <v>0</v>
      </c>
      <c r="BW77" s="32">
        <f t="shared" si="44"/>
        <v>0</v>
      </c>
      <c r="BX77" s="32">
        <f t="shared" si="44"/>
        <v>0</v>
      </c>
      <c r="BY77" s="32">
        <f t="shared" si="44"/>
        <v>0</v>
      </c>
      <c r="BZ77" s="32">
        <f t="shared" si="44"/>
        <v>0</v>
      </c>
      <c r="CA77" s="32">
        <f t="shared" si="44"/>
        <v>0</v>
      </c>
      <c r="CB77" s="32">
        <f t="shared" si="44"/>
        <v>0</v>
      </c>
      <c r="CC77" s="32">
        <f t="shared" si="44"/>
        <v>0</v>
      </c>
      <c r="CD77" s="32">
        <f t="shared" si="44"/>
        <v>0</v>
      </c>
      <c r="CE77" s="32">
        <f t="shared" si="44"/>
        <v>0</v>
      </c>
      <c r="CF77" s="32">
        <f t="shared" si="44"/>
        <v>0</v>
      </c>
      <c r="CG77" s="32">
        <f t="shared" si="44"/>
        <v>0</v>
      </c>
      <c r="CH77" s="32">
        <f t="shared" si="44"/>
        <v>0</v>
      </c>
      <c r="CI77" s="32">
        <f t="shared" si="44"/>
        <v>0</v>
      </c>
      <c r="CJ77" s="32">
        <f t="shared" si="44"/>
        <v>0</v>
      </c>
      <c r="CK77" s="32">
        <f t="shared" si="44"/>
        <v>0</v>
      </c>
      <c r="CL77" s="32">
        <f t="shared" si="44"/>
        <v>0</v>
      </c>
      <c r="CM77" s="32">
        <f t="shared" si="44"/>
        <v>0</v>
      </c>
      <c r="CN77" s="32">
        <f t="shared" si="44"/>
        <v>0</v>
      </c>
      <c r="CO77" s="32">
        <f t="shared" si="44"/>
        <v>0</v>
      </c>
      <c r="CP77" s="32">
        <f t="shared" si="44"/>
        <v>0</v>
      </c>
      <c r="CQ77" s="32">
        <f t="shared" si="44"/>
        <v>0</v>
      </c>
      <c r="CR77" s="32">
        <f t="shared" si="44"/>
        <v>0</v>
      </c>
      <c r="CS77" s="32">
        <f t="shared" si="44"/>
        <v>0</v>
      </c>
      <c r="CT77" s="32">
        <f t="shared" si="44"/>
        <v>0</v>
      </c>
      <c r="CU77" s="32">
        <f t="shared" si="44"/>
        <v>0</v>
      </c>
      <c r="CV77" s="32">
        <f t="shared" si="44"/>
        <v>0</v>
      </c>
      <c r="CW77" s="32">
        <f t="shared" si="44"/>
        <v>0</v>
      </c>
      <c r="CX77" s="32">
        <f t="shared" si="44"/>
        <v>0</v>
      </c>
      <c r="CY77" s="32">
        <f t="shared" si="44"/>
        <v>0</v>
      </c>
      <c r="CZ77" s="32">
        <f t="shared" si="44"/>
        <v>0</v>
      </c>
      <c r="DA77" s="32">
        <f t="shared" si="44"/>
        <v>0</v>
      </c>
    </row>
    <row r="79" spans="2:1009" x14ac:dyDescent="0.35">
      <c r="C79" s="15" t="s">
        <v>122</v>
      </c>
      <c r="D79" s="34">
        <f>E69/1000</f>
        <v>2.1582274125406163E-2</v>
      </c>
      <c r="F79" s="33">
        <f>$D$79*F75</f>
        <v>2.2661387831676472E-2</v>
      </c>
      <c r="G79" s="33">
        <f t="shared" ref="G79:BR79" si="45">$D$79*G75</f>
        <v>2.3794457223260297E-2</v>
      </c>
      <c r="H79" s="33">
        <f t="shared" si="45"/>
        <v>2.4984180084423314E-2</v>
      </c>
      <c r="I79" s="33">
        <f t="shared" si="45"/>
        <v>2.623338908864448E-2</v>
      </c>
      <c r="J79" s="33">
        <f t="shared" si="45"/>
        <v>2.7545058543076706E-2</v>
      </c>
      <c r="K79" s="33">
        <f t="shared" si="45"/>
        <v>2.8922311470230541E-2</v>
      </c>
      <c r="L79" s="33">
        <f t="shared" si="45"/>
        <v>3.0368427043742069E-2</v>
      </c>
      <c r="M79" s="33">
        <f t="shared" si="45"/>
        <v>3.1886848395929174E-2</v>
      </c>
      <c r="N79" s="33">
        <f t="shared" si="45"/>
        <v>3.3481190815725634E-2</v>
      </c>
      <c r="O79" s="33">
        <f t="shared" si="45"/>
        <v>3.5155250356511916E-2</v>
      </c>
      <c r="P79" s="33">
        <f t="shared" si="45"/>
        <v>3.6913012874337514E-2</v>
      </c>
      <c r="Q79" s="33">
        <f t="shared" si="45"/>
        <v>3.875866351805439E-2</v>
      </c>
      <c r="R79" s="33">
        <f t="shared" si="45"/>
        <v>4.0696596693957116E-2</v>
      </c>
      <c r="S79" s="33">
        <f t="shared" si="45"/>
        <v>4.2731426528654977E-2</v>
      </c>
      <c r="T79" s="33">
        <f t="shared" si="45"/>
        <v>4.4867997855087723E-2</v>
      </c>
      <c r="U79" s="33">
        <f t="shared" si="45"/>
        <v>4.7111397747842114E-2</v>
      </c>
      <c r="V79" s="33">
        <f t="shared" si="45"/>
        <v>4.9466967635234227E-2</v>
      </c>
      <c r="W79" s="33">
        <f t="shared" si="45"/>
        <v>5.1940316016995933E-2</v>
      </c>
      <c r="X79" s="33">
        <f t="shared" si="45"/>
        <v>5.453733181784573E-2</v>
      </c>
      <c r="Y79" s="33">
        <f t="shared" si="45"/>
        <v>5.7264198408738025E-2</v>
      </c>
      <c r="Z79" s="33">
        <f t="shared" si="45"/>
        <v>6.0127408329174931E-2</v>
      </c>
      <c r="AA79" s="33">
        <f t="shared" si="45"/>
        <v>6.3133778745633681E-2</v>
      </c>
      <c r="AB79" s="33">
        <f t="shared" si="45"/>
        <v>6.6290467682915369E-2</v>
      </c>
      <c r="AC79" s="33">
        <f t="shared" si="45"/>
        <v>6.9604991067061139E-2</v>
      </c>
      <c r="AD79" s="33">
        <f t="shared" si="45"/>
        <v>7.3085240620414202E-2</v>
      </c>
      <c r="AE79" s="33">
        <f t="shared" si="45"/>
        <v>7.6739502651434907E-2</v>
      </c>
      <c r="AF79" s="33">
        <f t="shared" si="45"/>
        <v>8.0576477784006659E-2</v>
      </c>
      <c r="AG79" s="33">
        <f t="shared" si="45"/>
        <v>8.4605301673206998E-2</v>
      </c>
      <c r="AH79" s="33">
        <f t="shared" si="45"/>
        <v>8.8835566756867351E-2</v>
      </c>
      <c r="AI79" s="33">
        <f t="shared" si="45"/>
        <v>9.3277345094710709E-2</v>
      </c>
      <c r="AJ79" s="33">
        <f t="shared" si="45"/>
        <v>9.7941212349446263E-2</v>
      </c>
      <c r="AK79" s="33">
        <f t="shared" si="45"/>
        <v>0.10283827296691858</v>
      </c>
      <c r="AL79" s="33">
        <f t="shared" si="45"/>
        <v>0.10798018661526451</v>
      </c>
      <c r="AM79" s="33">
        <f t="shared" si="45"/>
        <v>0.11337919594602774</v>
      </c>
      <c r="AN79" s="33">
        <f t="shared" si="45"/>
        <v>0.11904815574332914</v>
      </c>
      <c r="AO79" s="33">
        <f t="shared" si="45"/>
        <v>0.1250005635304956</v>
      </c>
      <c r="AP79" s="33">
        <f t="shared" si="45"/>
        <v>0.13125059170702039</v>
      </c>
      <c r="AQ79" s="33">
        <f t="shared" si="45"/>
        <v>0.13781312129237142</v>
      </c>
      <c r="AR79" s="33">
        <f t="shared" si="45"/>
        <v>0.14470377735699</v>
      </c>
      <c r="AS79" s="33">
        <f t="shared" si="45"/>
        <v>0.15193896622483952</v>
      </c>
      <c r="AT79" s="33">
        <f t="shared" si="45"/>
        <v>0.15953591453608149</v>
      </c>
      <c r="AU79" s="33">
        <f t="shared" si="45"/>
        <v>0.16751271026288556</v>
      </c>
      <c r="AV79" s="33">
        <f t="shared" si="45"/>
        <v>0.17588834577602985</v>
      </c>
      <c r="AW79" s="33">
        <f t="shared" si="45"/>
        <v>0.18468276306483136</v>
      </c>
      <c r="AX79" s="33">
        <f t="shared" si="45"/>
        <v>0.19391690121807295</v>
      </c>
      <c r="AY79" s="33">
        <f t="shared" si="45"/>
        <v>0.2036127462789766</v>
      </c>
      <c r="AZ79" s="33">
        <f t="shared" si="45"/>
        <v>0.21379338359292546</v>
      </c>
      <c r="BA79" s="33">
        <f t="shared" si="45"/>
        <v>0.22448305277257172</v>
      </c>
      <c r="BB79" s="33">
        <f t="shared" si="45"/>
        <v>0.23570720541120033</v>
      </c>
      <c r="BC79" s="33">
        <f t="shared" si="45"/>
        <v>0.24749256568176034</v>
      </c>
      <c r="BD79" s="33">
        <f t="shared" si="45"/>
        <v>0.2598671939658484</v>
      </c>
      <c r="BE79" s="33">
        <f t="shared" si="45"/>
        <v>0.2728605536641408</v>
      </c>
      <c r="BF79" s="33">
        <f t="shared" si="45"/>
        <v>0.28650358134734788</v>
      </c>
      <c r="BG79" s="33">
        <f t="shared" si="45"/>
        <v>0.30082876041471529</v>
      </c>
      <c r="BH79" s="33">
        <f t="shared" si="45"/>
        <v>0.31587019843545106</v>
      </c>
      <c r="BI79" s="33">
        <f t="shared" si="45"/>
        <v>0.33166370835722364</v>
      </c>
      <c r="BJ79" s="33">
        <f t="shared" si="45"/>
        <v>0.34824689377508483</v>
      </c>
      <c r="BK79" s="33">
        <f t="shared" si="45"/>
        <v>0.36565923846383902</v>
      </c>
      <c r="BL79" s="33">
        <f t="shared" si="45"/>
        <v>0.38394220038703097</v>
      </c>
      <c r="BM79" s="33">
        <f t="shared" si="45"/>
        <v>0.40313931040638257</v>
      </c>
      <c r="BN79" s="33">
        <f t="shared" si="45"/>
        <v>0.42329627592670166</v>
      </c>
      <c r="BO79" s="33">
        <f t="shared" si="45"/>
        <v>0.44446108972303677</v>
      </c>
      <c r="BP79" s="33">
        <f t="shared" si="45"/>
        <v>0.46668414420918863</v>
      </c>
      <c r="BQ79" s="33">
        <f t="shared" si="45"/>
        <v>0.49001835141964806</v>
      </c>
      <c r="BR79" s="33">
        <f t="shared" si="45"/>
        <v>0.5145192689906305</v>
      </c>
      <c r="BS79" s="33">
        <f t="shared" ref="BS79:DA79" si="46">$D$79*BS75</f>
        <v>0.54024523244016198</v>
      </c>
      <c r="BT79" s="33">
        <f t="shared" si="46"/>
        <v>0.56725749406217019</v>
      </c>
      <c r="BU79" s="33">
        <f t="shared" si="46"/>
        <v>0.59562036876527868</v>
      </c>
      <c r="BV79" s="33">
        <f t="shared" si="46"/>
        <v>0.62540138720354266</v>
      </c>
      <c r="BW79" s="33">
        <f t="shared" si="46"/>
        <v>0.65667145656371984</v>
      </c>
      <c r="BX79" s="33">
        <f t="shared" si="46"/>
        <v>0.68950502939190583</v>
      </c>
      <c r="BY79" s="33">
        <f t="shared" si="46"/>
        <v>0.72398028086150112</v>
      </c>
      <c r="BZ79" s="33">
        <f t="shared" si="46"/>
        <v>0.76017929490457625</v>
      </c>
      <c r="CA79" s="33">
        <f t="shared" si="46"/>
        <v>0.79818825964980511</v>
      </c>
      <c r="CB79" s="33">
        <f t="shared" si="46"/>
        <v>0.83809767263229529</v>
      </c>
      <c r="CC79" s="33">
        <f t="shared" si="46"/>
        <v>0.88000255626391022</v>
      </c>
      <c r="CD79" s="33">
        <f t="shared" si="46"/>
        <v>0.92400268407710573</v>
      </c>
      <c r="CE79" s="33">
        <f t="shared" si="46"/>
        <v>0.970202818280961</v>
      </c>
      <c r="CF79" s="33">
        <f t="shared" si="46"/>
        <v>1.018712959195009</v>
      </c>
      <c r="CG79" s="33">
        <f t="shared" si="46"/>
        <v>1.0696486071547595</v>
      </c>
      <c r="CH79" s="33">
        <f t="shared" si="46"/>
        <v>1.1231310375124977</v>
      </c>
      <c r="CI79" s="33">
        <f t="shared" si="46"/>
        <v>1.1792875893881225</v>
      </c>
      <c r="CJ79" s="33">
        <f t="shared" si="46"/>
        <v>1.2382519688575286</v>
      </c>
      <c r="CK79" s="33">
        <f t="shared" si="46"/>
        <v>1.3001645673004052</v>
      </c>
      <c r="CL79" s="33">
        <f t="shared" si="46"/>
        <v>1.3651727956654254</v>
      </c>
      <c r="CM79" s="33">
        <f t="shared" si="46"/>
        <v>1.4334314354486968</v>
      </c>
      <c r="CN79" s="33">
        <f t="shared" si="46"/>
        <v>1.5051030072211318</v>
      </c>
      <c r="CO79" s="33">
        <f t="shared" si="46"/>
        <v>1.5803581575821886</v>
      </c>
      <c r="CP79" s="33">
        <f t="shared" si="46"/>
        <v>1.6593760654612979</v>
      </c>
      <c r="CQ79" s="33">
        <f t="shared" si="46"/>
        <v>1.7423448687343628</v>
      </c>
      <c r="CR79" s="33">
        <f t="shared" si="46"/>
        <v>1.8294621121710812</v>
      </c>
      <c r="CS79" s="33">
        <f t="shared" si="46"/>
        <v>1.9209352177796353</v>
      </c>
      <c r="CT79" s="33">
        <f t="shared" si="46"/>
        <v>2.0169819786686172</v>
      </c>
      <c r="CU79" s="33">
        <f t="shared" si="46"/>
        <v>2.1178310776020481</v>
      </c>
      <c r="CV79" s="33">
        <f t="shared" si="46"/>
        <v>2.2237226314821505</v>
      </c>
      <c r="CW79" s="33">
        <f t="shared" si="46"/>
        <v>2.3349087630562582</v>
      </c>
      <c r="CX79" s="33">
        <f t="shared" si="46"/>
        <v>2.4516542012090712</v>
      </c>
      <c r="CY79" s="33">
        <f t="shared" si="46"/>
        <v>2.5742369112695247</v>
      </c>
      <c r="CZ79" s="33">
        <f t="shared" si="46"/>
        <v>2.7029487568330008</v>
      </c>
      <c r="DA79" s="33">
        <f t="shared" si="46"/>
        <v>2.8380961946746512</v>
      </c>
    </row>
    <row r="80" spans="2:1009" x14ac:dyDescent="0.35">
      <c r="C80" s="15" t="s">
        <v>126</v>
      </c>
      <c r="F80" s="24">
        <f>F79*F77</f>
        <v>4367.3026629206897</v>
      </c>
      <c r="G80" s="24">
        <f t="shared" ref="G80:BR80" si="47">G79*G77</f>
        <v>4585.6677960667248</v>
      </c>
      <c r="H80" s="24">
        <f t="shared" si="47"/>
        <v>4814.9511858700607</v>
      </c>
      <c r="I80" s="24">
        <f t="shared" si="47"/>
        <v>5055.6987451635641</v>
      </c>
      <c r="J80" s="24">
        <f t="shared" si="47"/>
        <v>5308.4836824217427</v>
      </c>
      <c r="K80" s="24">
        <f t="shared" si="47"/>
        <v>5573.9078665428297</v>
      </c>
      <c r="L80" s="24">
        <f t="shared" si="47"/>
        <v>5852.6032598699712</v>
      </c>
      <c r="M80" s="24">
        <f t="shared" si="47"/>
        <v>6145.23342286347</v>
      </c>
      <c r="N80" s="24">
        <f t="shared" si="47"/>
        <v>6452.4950940066437</v>
      </c>
      <c r="O80" s="24">
        <f t="shared" si="47"/>
        <v>6775.1198487069769</v>
      </c>
      <c r="P80" s="24">
        <f t="shared" si="47"/>
        <v>7113.875841142326</v>
      </c>
      <c r="Q80" s="24">
        <f t="shared" si="47"/>
        <v>7469.5696331994423</v>
      </c>
      <c r="R80" s="24">
        <f t="shared" si="47"/>
        <v>7843.0481148594154</v>
      </c>
      <c r="S80" s="24">
        <f t="shared" si="47"/>
        <v>8235.2005206023878</v>
      </c>
      <c r="T80" s="24">
        <f t="shared" si="47"/>
        <v>8646.9605466325065</v>
      </c>
      <c r="U80" s="24">
        <f t="shared" si="47"/>
        <v>9079.3085739641319</v>
      </c>
      <c r="V80" s="24">
        <f t="shared" si="47"/>
        <v>9533.2740026623396</v>
      </c>
      <c r="W80" s="24">
        <f t="shared" si="47"/>
        <v>10009.937702795456</v>
      </c>
      <c r="X80" s="24">
        <f t="shared" si="47"/>
        <v>10510.43458793523</v>
      </c>
      <c r="Y80" s="24">
        <f t="shared" si="47"/>
        <v>11035.956317331993</v>
      </c>
      <c r="Z80" s="24">
        <f t="shared" si="47"/>
        <v>11587.754133198592</v>
      </c>
      <c r="AA80" s="24">
        <f t="shared" si="47"/>
        <v>12167.141839858523</v>
      </c>
      <c r="AB80" s="24">
        <f t="shared" si="47"/>
        <v>12775.498931851449</v>
      </c>
      <c r="AC80" s="24">
        <f t="shared" si="47"/>
        <v>13414.273878444023</v>
      </c>
      <c r="AD80" s="24">
        <f t="shared" si="47"/>
        <v>14084.987572366224</v>
      </c>
      <c r="AE80" s="24">
        <f t="shared" si="47"/>
        <v>14789.236950984536</v>
      </c>
      <c r="AF80" s="24">
        <f t="shared" si="47"/>
        <v>15528.698798533764</v>
      </c>
      <c r="AG80" s="24">
        <f t="shared" si="47"/>
        <v>16305.133738460452</v>
      </c>
      <c r="AH80" s="24">
        <f t="shared" si="47"/>
        <v>17120.390425383477</v>
      </c>
      <c r="AI80" s="24">
        <f t="shared" si="47"/>
        <v>17976.40994665265</v>
      </c>
      <c r="AJ80" s="24">
        <f t="shared" si="47"/>
        <v>0</v>
      </c>
      <c r="AK80" s="24">
        <f t="shared" si="47"/>
        <v>0</v>
      </c>
      <c r="AL80" s="24">
        <f t="shared" si="47"/>
        <v>0</v>
      </c>
      <c r="AM80" s="24">
        <f t="shared" si="47"/>
        <v>0</v>
      </c>
      <c r="AN80" s="24">
        <f t="shared" si="47"/>
        <v>0</v>
      </c>
      <c r="AO80" s="24">
        <f t="shared" si="47"/>
        <v>0</v>
      </c>
      <c r="AP80" s="24">
        <f t="shared" si="47"/>
        <v>0</v>
      </c>
      <c r="AQ80" s="24">
        <f t="shared" si="47"/>
        <v>0</v>
      </c>
      <c r="AR80" s="24">
        <f t="shared" si="47"/>
        <v>0</v>
      </c>
      <c r="AS80" s="24">
        <f t="shared" si="47"/>
        <v>0</v>
      </c>
      <c r="AT80" s="24">
        <f t="shared" si="47"/>
        <v>0</v>
      </c>
      <c r="AU80" s="24">
        <f t="shared" si="47"/>
        <v>0</v>
      </c>
      <c r="AV80" s="24">
        <f t="shared" si="47"/>
        <v>0</v>
      </c>
      <c r="AW80" s="24">
        <f t="shared" si="47"/>
        <v>0</v>
      </c>
      <c r="AX80" s="24">
        <f t="shared" si="47"/>
        <v>0</v>
      </c>
      <c r="AY80" s="24">
        <f t="shared" si="47"/>
        <v>0</v>
      </c>
      <c r="AZ80" s="24">
        <f t="shared" si="47"/>
        <v>0</v>
      </c>
      <c r="BA80" s="24">
        <f t="shared" si="47"/>
        <v>0</v>
      </c>
      <c r="BB80" s="24">
        <f t="shared" si="47"/>
        <v>0</v>
      </c>
      <c r="BC80" s="24">
        <f t="shared" si="47"/>
        <v>0</v>
      </c>
      <c r="BD80" s="24">
        <f t="shared" si="47"/>
        <v>0</v>
      </c>
      <c r="BE80" s="24">
        <f t="shared" si="47"/>
        <v>0</v>
      </c>
      <c r="BF80" s="24">
        <f t="shared" si="47"/>
        <v>0</v>
      </c>
      <c r="BG80" s="24">
        <f t="shared" si="47"/>
        <v>0</v>
      </c>
      <c r="BH80" s="24">
        <f t="shared" si="47"/>
        <v>0</v>
      </c>
      <c r="BI80" s="24">
        <f t="shared" si="47"/>
        <v>0</v>
      </c>
      <c r="BJ80" s="24">
        <f t="shared" si="47"/>
        <v>0</v>
      </c>
      <c r="BK80" s="24">
        <f t="shared" si="47"/>
        <v>0</v>
      </c>
      <c r="BL80" s="24">
        <f t="shared" si="47"/>
        <v>0</v>
      </c>
      <c r="BM80" s="24">
        <f t="shared" si="47"/>
        <v>0</v>
      </c>
      <c r="BN80" s="24">
        <f t="shared" si="47"/>
        <v>0</v>
      </c>
      <c r="BO80" s="24">
        <f t="shared" si="47"/>
        <v>0</v>
      </c>
      <c r="BP80" s="24">
        <f t="shared" si="47"/>
        <v>0</v>
      </c>
      <c r="BQ80" s="24">
        <f t="shared" si="47"/>
        <v>0</v>
      </c>
      <c r="BR80" s="24">
        <f t="shared" si="47"/>
        <v>0</v>
      </c>
      <c r="BS80" s="24">
        <f t="shared" ref="BS80:DA80" si="48">BS79*BS77</f>
        <v>0</v>
      </c>
      <c r="BT80" s="24">
        <f t="shared" si="48"/>
        <v>0</v>
      </c>
      <c r="BU80" s="24">
        <f t="shared" si="48"/>
        <v>0</v>
      </c>
      <c r="BV80" s="24">
        <f t="shared" si="48"/>
        <v>0</v>
      </c>
      <c r="BW80" s="24">
        <f t="shared" si="48"/>
        <v>0</v>
      </c>
      <c r="BX80" s="24">
        <f t="shared" si="48"/>
        <v>0</v>
      </c>
      <c r="BY80" s="24">
        <f t="shared" si="48"/>
        <v>0</v>
      </c>
      <c r="BZ80" s="24">
        <f t="shared" si="48"/>
        <v>0</v>
      </c>
      <c r="CA80" s="24">
        <f t="shared" si="48"/>
        <v>0</v>
      </c>
      <c r="CB80" s="24">
        <f t="shared" si="48"/>
        <v>0</v>
      </c>
      <c r="CC80" s="24">
        <f t="shared" si="48"/>
        <v>0</v>
      </c>
      <c r="CD80" s="24">
        <f t="shared" si="48"/>
        <v>0</v>
      </c>
      <c r="CE80" s="24">
        <f t="shared" si="48"/>
        <v>0</v>
      </c>
      <c r="CF80" s="24">
        <f t="shared" si="48"/>
        <v>0</v>
      </c>
      <c r="CG80" s="24">
        <f t="shared" si="48"/>
        <v>0</v>
      </c>
      <c r="CH80" s="24">
        <f t="shared" si="48"/>
        <v>0</v>
      </c>
      <c r="CI80" s="24">
        <f t="shared" si="48"/>
        <v>0</v>
      </c>
      <c r="CJ80" s="24">
        <f t="shared" si="48"/>
        <v>0</v>
      </c>
      <c r="CK80" s="24">
        <f t="shared" si="48"/>
        <v>0</v>
      </c>
      <c r="CL80" s="24">
        <f t="shared" si="48"/>
        <v>0</v>
      </c>
      <c r="CM80" s="24">
        <f t="shared" si="48"/>
        <v>0</v>
      </c>
      <c r="CN80" s="24">
        <f t="shared" si="48"/>
        <v>0</v>
      </c>
      <c r="CO80" s="24">
        <f t="shared" si="48"/>
        <v>0</v>
      </c>
      <c r="CP80" s="24">
        <f t="shared" si="48"/>
        <v>0</v>
      </c>
      <c r="CQ80" s="24">
        <f t="shared" si="48"/>
        <v>0</v>
      </c>
      <c r="CR80" s="24">
        <f t="shared" si="48"/>
        <v>0</v>
      </c>
      <c r="CS80" s="24">
        <f t="shared" si="48"/>
        <v>0</v>
      </c>
      <c r="CT80" s="24">
        <f t="shared" si="48"/>
        <v>0</v>
      </c>
      <c r="CU80" s="24">
        <f t="shared" si="48"/>
        <v>0</v>
      </c>
      <c r="CV80" s="24">
        <f t="shared" si="48"/>
        <v>0</v>
      </c>
      <c r="CW80" s="24">
        <f t="shared" si="48"/>
        <v>0</v>
      </c>
      <c r="CX80" s="24">
        <f t="shared" si="48"/>
        <v>0</v>
      </c>
      <c r="CY80" s="24">
        <f t="shared" si="48"/>
        <v>0</v>
      </c>
      <c r="CZ80" s="24">
        <f t="shared" si="48"/>
        <v>0</v>
      </c>
      <c r="DA80" s="24">
        <f t="shared" si="48"/>
        <v>0</v>
      </c>
    </row>
    <row r="82" spans="2:105" x14ac:dyDescent="0.35">
      <c r="C82" s="15" t="s">
        <v>123</v>
      </c>
      <c r="D82" s="25">
        <f>E37</f>
        <v>1500</v>
      </c>
      <c r="F82" s="24">
        <f t="shared" ref="F82:AK82" si="49">$D$82*F75*F73</f>
        <v>1575</v>
      </c>
      <c r="G82" s="24">
        <f t="shared" si="49"/>
        <v>1653.75</v>
      </c>
      <c r="H82" s="24">
        <f t="shared" si="49"/>
        <v>1736.4375000000002</v>
      </c>
      <c r="I82" s="24">
        <f t="shared" si="49"/>
        <v>1823.2593750000003</v>
      </c>
      <c r="J82" s="24">
        <f t="shared" si="49"/>
        <v>1914.4223437500004</v>
      </c>
      <c r="K82" s="24">
        <f t="shared" si="49"/>
        <v>2010.1434609375005</v>
      </c>
      <c r="L82" s="24">
        <f t="shared" si="49"/>
        <v>2110.6506339843759</v>
      </c>
      <c r="M82" s="24">
        <f t="shared" si="49"/>
        <v>2216.1831656835943</v>
      </c>
      <c r="N82" s="24">
        <f t="shared" si="49"/>
        <v>2326.9923239677742</v>
      </c>
      <c r="O82" s="24">
        <f t="shared" si="49"/>
        <v>2443.3419401661631</v>
      </c>
      <c r="P82" s="24">
        <f t="shared" si="49"/>
        <v>2565.5090371744714</v>
      </c>
      <c r="Q82" s="24">
        <f t="shared" si="49"/>
        <v>2693.7844890331953</v>
      </c>
      <c r="R82" s="24">
        <f t="shared" si="49"/>
        <v>2828.4737134848551</v>
      </c>
      <c r="S82" s="24">
        <f t="shared" si="49"/>
        <v>2969.8973991590979</v>
      </c>
      <c r="T82" s="24">
        <f t="shared" si="49"/>
        <v>3118.3922691170533</v>
      </c>
      <c r="U82" s="24">
        <f t="shared" si="49"/>
        <v>3274.3118825729061</v>
      </c>
      <c r="V82" s="24">
        <f t="shared" si="49"/>
        <v>3438.0274767015517</v>
      </c>
      <c r="W82" s="24">
        <f t="shared" si="49"/>
        <v>3609.9288505366289</v>
      </c>
      <c r="X82" s="24">
        <f t="shared" si="49"/>
        <v>3790.4252930634607</v>
      </c>
      <c r="Y82" s="24">
        <f t="shared" si="49"/>
        <v>3979.9465577166338</v>
      </c>
      <c r="Z82" s="24">
        <f t="shared" si="49"/>
        <v>4178.9438856024663</v>
      </c>
      <c r="AA82" s="24">
        <f t="shared" si="49"/>
        <v>4387.89107988259</v>
      </c>
      <c r="AB82" s="24">
        <f t="shared" si="49"/>
        <v>4607.2856338767187</v>
      </c>
      <c r="AC82" s="24">
        <f t="shared" si="49"/>
        <v>4837.649915570556</v>
      </c>
      <c r="AD82" s="24">
        <f t="shared" si="49"/>
        <v>5079.5324113490833</v>
      </c>
      <c r="AE82" s="24">
        <f t="shared" si="49"/>
        <v>5333.5090319165374</v>
      </c>
      <c r="AF82" s="24">
        <f t="shared" si="49"/>
        <v>5600.1844835123647</v>
      </c>
      <c r="AG82" s="24">
        <f t="shared" si="49"/>
        <v>5880.1937076879831</v>
      </c>
      <c r="AH82" s="24">
        <f t="shared" si="49"/>
        <v>6174.2033930723828</v>
      </c>
      <c r="AI82" s="24">
        <f t="shared" si="49"/>
        <v>6482.9135627260021</v>
      </c>
      <c r="AJ82" s="24">
        <f t="shared" si="49"/>
        <v>0</v>
      </c>
      <c r="AK82" s="24">
        <f t="shared" si="49"/>
        <v>0</v>
      </c>
      <c r="AL82" s="24">
        <f t="shared" ref="AL82:BQ82" si="50">$D$82*AL75*AL73</f>
        <v>0</v>
      </c>
      <c r="AM82" s="24">
        <f t="shared" si="50"/>
        <v>0</v>
      </c>
      <c r="AN82" s="24">
        <f t="shared" si="50"/>
        <v>0</v>
      </c>
      <c r="AO82" s="24">
        <f t="shared" si="50"/>
        <v>0</v>
      </c>
      <c r="AP82" s="24">
        <f t="shared" si="50"/>
        <v>0</v>
      </c>
      <c r="AQ82" s="24">
        <f t="shared" si="50"/>
        <v>0</v>
      </c>
      <c r="AR82" s="24">
        <f t="shared" si="50"/>
        <v>0</v>
      </c>
      <c r="AS82" s="24">
        <f t="shared" si="50"/>
        <v>0</v>
      </c>
      <c r="AT82" s="24">
        <f t="shared" si="50"/>
        <v>0</v>
      </c>
      <c r="AU82" s="24">
        <f t="shared" si="50"/>
        <v>0</v>
      </c>
      <c r="AV82" s="24">
        <f t="shared" si="50"/>
        <v>0</v>
      </c>
      <c r="AW82" s="24">
        <f t="shared" si="50"/>
        <v>0</v>
      </c>
      <c r="AX82" s="24">
        <f t="shared" si="50"/>
        <v>0</v>
      </c>
      <c r="AY82" s="24">
        <f t="shared" si="50"/>
        <v>0</v>
      </c>
      <c r="AZ82" s="24">
        <f t="shared" si="50"/>
        <v>0</v>
      </c>
      <c r="BA82" s="24">
        <f t="shared" si="50"/>
        <v>0</v>
      </c>
      <c r="BB82" s="24">
        <f t="shared" si="50"/>
        <v>0</v>
      </c>
      <c r="BC82" s="24">
        <f t="shared" si="50"/>
        <v>0</v>
      </c>
      <c r="BD82" s="24">
        <f t="shared" si="50"/>
        <v>0</v>
      </c>
      <c r="BE82" s="24">
        <f t="shared" si="50"/>
        <v>0</v>
      </c>
      <c r="BF82" s="24">
        <f t="shared" si="50"/>
        <v>0</v>
      </c>
      <c r="BG82" s="24">
        <f t="shared" si="50"/>
        <v>0</v>
      </c>
      <c r="BH82" s="24">
        <f t="shared" si="50"/>
        <v>0</v>
      </c>
      <c r="BI82" s="24">
        <f t="shared" si="50"/>
        <v>0</v>
      </c>
      <c r="BJ82" s="24">
        <f t="shared" si="50"/>
        <v>0</v>
      </c>
      <c r="BK82" s="24">
        <f t="shared" si="50"/>
        <v>0</v>
      </c>
      <c r="BL82" s="24">
        <f t="shared" si="50"/>
        <v>0</v>
      </c>
      <c r="BM82" s="24">
        <f t="shared" si="50"/>
        <v>0</v>
      </c>
      <c r="BN82" s="24">
        <f t="shared" si="50"/>
        <v>0</v>
      </c>
      <c r="BO82" s="24">
        <f t="shared" si="50"/>
        <v>0</v>
      </c>
      <c r="BP82" s="24">
        <f t="shared" si="50"/>
        <v>0</v>
      </c>
      <c r="BQ82" s="24">
        <f t="shared" si="50"/>
        <v>0</v>
      </c>
      <c r="BR82" s="24">
        <f t="shared" ref="BR82:DA82" si="51">$D$82*BR75*BR73</f>
        <v>0</v>
      </c>
      <c r="BS82" s="24">
        <f t="shared" si="51"/>
        <v>0</v>
      </c>
      <c r="BT82" s="24">
        <f t="shared" si="51"/>
        <v>0</v>
      </c>
      <c r="BU82" s="24">
        <f t="shared" si="51"/>
        <v>0</v>
      </c>
      <c r="BV82" s="24">
        <f t="shared" si="51"/>
        <v>0</v>
      </c>
      <c r="BW82" s="24">
        <f t="shared" si="51"/>
        <v>0</v>
      </c>
      <c r="BX82" s="24">
        <f t="shared" si="51"/>
        <v>0</v>
      </c>
      <c r="BY82" s="24">
        <f t="shared" si="51"/>
        <v>0</v>
      </c>
      <c r="BZ82" s="24">
        <f t="shared" si="51"/>
        <v>0</v>
      </c>
      <c r="CA82" s="24">
        <f t="shared" si="51"/>
        <v>0</v>
      </c>
      <c r="CB82" s="24">
        <f t="shared" si="51"/>
        <v>0</v>
      </c>
      <c r="CC82" s="24">
        <f t="shared" si="51"/>
        <v>0</v>
      </c>
      <c r="CD82" s="24">
        <f t="shared" si="51"/>
        <v>0</v>
      </c>
      <c r="CE82" s="24">
        <f t="shared" si="51"/>
        <v>0</v>
      </c>
      <c r="CF82" s="24">
        <f t="shared" si="51"/>
        <v>0</v>
      </c>
      <c r="CG82" s="24">
        <f t="shared" si="51"/>
        <v>0</v>
      </c>
      <c r="CH82" s="24">
        <f t="shared" si="51"/>
        <v>0</v>
      </c>
      <c r="CI82" s="24">
        <f t="shared" si="51"/>
        <v>0</v>
      </c>
      <c r="CJ82" s="24">
        <f t="shared" si="51"/>
        <v>0</v>
      </c>
      <c r="CK82" s="24">
        <f t="shared" si="51"/>
        <v>0</v>
      </c>
      <c r="CL82" s="24">
        <f t="shared" si="51"/>
        <v>0</v>
      </c>
      <c r="CM82" s="24">
        <f t="shared" si="51"/>
        <v>0</v>
      </c>
      <c r="CN82" s="24">
        <f t="shared" si="51"/>
        <v>0</v>
      </c>
      <c r="CO82" s="24">
        <f t="shared" si="51"/>
        <v>0</v>
      </c>
      <c r="CP82" s="24">
        <f t="shared" si="51"/>
        <v>0</v>
      </c>
      <c r="CQ82" s="24">
        <f t="shared" si="51"/>
        <v>0</v>
      </c>
      <c r="CR82" s="24">
        <f t="shared" si="51"/>
        <v>0</v>
      </c>
      <c r="CS82" s="24">
        <f t="shared" si="51"/>
        <v>0</v>
      </c>
      <c r="CT82" s="24">
        <f t="shared" si="51"/>
        <v>0</v>
      </c>
      <c r="CU82" s="24">
        <f t="shared" si="51"/>
        <v>0</v>
      </c>
      <c r="CV82" s="24">
        <f t="shared" si="51"/>
        <v>0</v>
      </c>
      <c r="CW82" s="24">
        <f t="shared" si="51"/>
        <v>0</v>
      </c>
      <c r="CX82" s="24">
        <f t="shared" si="51"/>
        <v>0</v>
      </c>
      <c r="CY82" s="24">
        <f t="shared" si="51"/>
        <v>0</v>
      </c>
      <c r="CZ82" s="24">
        <f t="shared" si="51"/>
        <v>0</v>
      </c>
      <c r="DA82" s="24">
        <f t="shared" si="51"/>
        <v>0</v>
      </c>
    </row>
    <row r="84" spans="2:105" x14ac:dyDescent="0.35">
      <c r="C84" s="15" t="s">
        <v>124</v>
      </c>
      <c r="F84" s="27">
        <f t="shared" ref="F84:AK84" si="52">F80-F82</f>
        <v>2792.3026629206897</v>
      </c>
      <c r="G84" s="27">
        <f t="shared" si="52"/>
        <v>2931.9177960667248</v>
      </c>
      <c r="H84" s="27">
        <f t="shared" si="52"/>
        <v>3078.5136858700607</v>
      </c>
      <c r="I84" s="27">
        <f t="shared" si="52"/>
        <v>3232.4393701635636</v>
      </c>
      <c r="J84" s="27">
        <f t="shared" si="52"/>
        <v>3394.0613386717423</v>
      </c>
      <c r="K84" s="27">
        <f t="shared" si="52"/>
        <v>3563.7644056053291</v>
      </c>
      <c r="L84" s="27">
        <f t="shared" si="52"/>
        <v>3741.9526258855954</v>
      </c>
      <c r="M84" s="27">
        <f t="shared" si="52"/>
        <v>3929.0502571798756</v>
      </c>
      <c r="N84" s="27">
        <f t="shared" si="52"/>
        <v>4125.5027700388691</v>
      </c>
      <c r="O84" s="27">
        <f t="shared" si="52"/>
        <v>4331.7779085408138</v>
      </c>
      <c r="P84" s="27">
        <f t="shared" si="52"/>
        <v>4548.3668039678541</v>
      </c>
      <c r="Q84" s="27">
        <f t="shared" si="52"/>
        <v>4775.7851441662469</v>
      </c>
      <c r="R84" s="27">
        <f t="shared" si="52"/>
        <v>5014.5744013745607</v>
      </c>
      <c r="S84" s="27">
        <f t="shared" si="52"/>
        <v>5265.3031214432904</v>
      </c>
      <c r="T84" s="27">
        <f t="shared" si="52"/>
        <v>5528.5682775154528</v>
      </c>
      <c r="U84" s="27">
        <f t="shared" si="52"/>
        <v>5804.9966913912258</v>
      </c>
      <c r="V84" s="27">
        <f t="shared" si="52"/>
        <v>6095.2465259607879</v>
      </c>
      <c r="W84" s="27">
        <f t="shared" si="52"/>
        <v>6400.0088522588267</v>
      </c>
      <c r="X84" s="27">
        <f t="shared" si="52"/>
        <v>6720.0092948717684</v>
      </c>
      <c r="Y84" s="27">
        <f t="shared" si="52"/>
        <v>7056.0097596153591</v>
      </c>
      <c r="Z84" s="27">
        <f t="shared" si="52"/>
        <v>7408.8102475961259</v>
      </c>
      <c r="AA84" s="27">
        <f t="shared" si="52"/>
        <v>7779.2507599759329</v>
      </c>
      <c r="AB84" s="27">
        <f t="shared" si="52"/>
        <v>8168.2132979747303</v>
      </c>
      <c r="AC84" s="27">
        <f t="shared" si="52"/>
        <v>8576.6239628734656</v>
      </c>
      <c r="AD84" s="27">
        <f t="shared" si="52"/>
        <v>9005.4551610171402</v>
      </c>
      <c r="AE84" s="27">
        <f t="shared" si="52"/>
        <v>9455.7279190679983</v>
      </c>
      <c r="AF84" s="27">
        <f t="shared" si="52"/>
        <v>9928.5143150213989</v>
      </c>
      <c r="AG84" s="27">
        <f t="shared" si="52"/>
        <v>10424.940030772468</v>
      </c>
      <c r="AH84" s="27">
        <f t="shared" si="52"/>
        <v>10946.187032311094</v>
      </c>
      <c r="AI84" s="27">
        <f t="shared" si="52"/>
        <v>11493.496383926647</v>
      </c>
      <c r="AJ84" s="27">
        <f t="shared" si="52"/>
        <v>0</v>
      </c>
      <c r="AK84" s="27">
        <f t="shared" si="52"/>
        <v>0</v>
      </c>
      <c r="AL84" s="27">
        <f t="shared" ref="AL84:BQ84" si="53">AL80-AL82</f>
        <v>0</v>
      </c>
      <c r="AM84" s="27">
        <f t="shared" si="53"/>
        <v>0</v>
      </c>
      <c r="AN84" s="27">
        <f t="shared" si="53"/>
        <v>0</v>
      </c>
      <c r="AO84" s="27">
        <f t="shared" si="53"/>
        <v>0</v>
      </c>
      <c r="AP84" s="27">
        <f t="shared" si="53"/>
        <v>0</v>
      </c>
      <c r="AQ84" s="27">
        <f t="shared" si="53"/>
        <v>0</v>
      </c>
      <c r="AR84" s="27">
        <f t="shared" si="53"/>
        <v>0</v>
      </c>
      <c r="AS84" s="27">
        <f t="shared" si="53"/>
        <v>0</v>
      </c>
      <c r="AT84" s="27">
        <f t="shared" si="53"/>
        <v>0</v>
      </c>
      <c r="AU84" s="27">
        <f t="shared" si="53"/>
        <v>0</v>
      </c>
      <c r="AV84" s="27">
        <f t="shared" si="53"/>
        <v>0</v>
      </c>
      <c r="AW84" s="27">
        <f t="shared" si="53"/>
        <v>0</v>
      </c>
      <c r="AX84" s="27">
        <f t="shared" si="53"/>
        <v>0</v>
      </c>
      <c r="AY84" s="27">
        <f t="shared" si="53"/>
        <v>0</v>
      </c>
      <c r="AZ84" s="27">
        <f t="shared" si="53"/>
        <v>0</v>
      </c>
      <c r="BA84" s="27">
        <f t="shared" si="53"/>
        <v>0</v>
      </c>
      <c r="BB84" s="27">
        <f t="shared" si="53"/>
        <v>0</v>
      </c>
      <c r="BC84" s="27">
        <f t="shared" si="53"/>
        <v>0</v>
      </c>
      <c r="BD84" s="27">
        <f t="shared" si="53"/>
        <v>0</v>
      </c>
      <c r="BE84" s="27">
        <f t="shared" si="53"/>
        <v>0</v>
      </c>
      <c r="BF84" s="27">
        <f t="shared" si="53"/>
        <v>0</v>
      </c>
      <c r="BG84" s="27">
        <f t="shared" si="53"/>
        <v>0</v>
      </c>
      <c r="BH84" s="27">
        <f t="shared" si="53"/>
        <v>0</v>
      </c>
      <c r="BI84" s="27">
        <f t="shared" si="53"/>
        <v>0</v>
      </c>
      <c r="BJ84" s="27">
        <f t="shared" si="53"/>
        <v>0</v>
      </c>
      <c r="BK84" s="27">
        <f t="shared" si="53"/>
        <v>0</v>
      </c>
      <c r="BL84" s="27">
        <f t="shared" si="53"/>
        <v>0</v>
      </c>
      <c r="BM84" s="27">
        <f t="shared" si="53"/>
        <v>0</v>
      </c>
      <c r="BN84" s="27">
        <f t="shared" si="53"/>
        <v>0</v>
      </c>
      <c r="BO84" s="27">
        <f t="shared" si="53"/>
        <v>0</v>
      </c>
      <c r="BP84" s="27">
        <f t="shared" si="53"/>
        <v>0</v>
      </c>
      <c r="BQ84" s="27">
        <f t="shared" si="53"/>
        <v>0</v>
      </c>
      <c r="BR84" s="27">
        <f t="shared" ref="BR84:DA84" si="54">BR80-BR82</f>
        <v>0</v>
      </c>
      <c r="BS84" s="27">
        <f t="shared" si="54"/>
        <v>0</v>
      </c>
      <c r="BT84" s="27">
        <f t="shared" si="54"/>
        <v>0</v>
      </c>
      <c r="BU84" s="27">
        <f t="shared" si="54"/>
        <v>0</v>
      </c>
      <c r="BV84" s="27">
        <f t="shared" si="54"/>
        <v>0</v>
      </c>
      <c r="BW84" s="27">
        <f t="shared" si="54"/>
        <v>0</v>
      </c>
      <c r="BX84" s="27">
        <f t="shared" si="54"/>
        <v>0</v>
      </c>
      <c r="BY84" s="27">
        <f t="shared" si="54"/>
        <v>0</v>
      </c>
      <c r="BZ84" s="27">
        <f t="shared" si="54"/>
        <v>0</v>
      </c>
      <c r="CA84" s="27">
        <f t="shared" si="54"/>
        <v>0</v>
      </c>
      <c r="CB84" s="27">
        <f t="shared" si="54"/>
        <v>0</v>
      </c>
      <c r="CC84" s="27">
        <f t="shared" si="54"/>
        <v>0</v>
      </c>
      <c r="CD84" s="27">
        <f t="shared" si="54"/>
        <v>0</v>
      </c>
      <c r="CE84" s="27">
        <f t="shared" si="54"/>
        <v>0</v>
      </c>
      <c r="CF84" s="27">
        <f t="shared" si="54"/>
        <v>0</v>
      </c>
      <c r="CG84" s="27">
        <f t="shared" si="54"/>
        <v>0</v>
      </c>
      <c r="CH84" s="27">
        <f t="shared" si="54"/>
        <v>0</v>
      </c>
      <c r="CI84" s="27">
        <f t="shared" si="54"/>
        <v>0</v>
      </c>
      <c r="CJ84" s="27">
        <f t="shared" si="54"/>
        <v>0</v>
      </c>
      <c r="CK84" s="27">
        <f t="shared" si="54"/>
        <v>0</v>
      </c>
      <c r="CL84" s="27">
        <f t="shared" si="54"/>
        <v>0</v>
      </c>
      <c r="CM84" s="27">
        <f t="shared" si="54"/>
        <v>0</v>
      </c>
      <c r="CN84" s="27">
        <f t="shared" si="54"/>
        <v>0</v>
      </c>
      <c r="CO84" s="27">
        <f t="shared" si="54"/>
        <v>0</v>
      </c>
      <c r="CP84" s="27">
        <f t="shared" si="54"/>
        <v>0</v>
      </c>
      <c r="CQ84" s="27">
        <f t="shared" si="54"/>
        <v>0</v>
      </c>
      <c r="CR84" s="27">
        <f t="shared" si="54"/>
        <v>0</v>
      </c>
      <c r="CS84" s="27">
        <f t="shared" si="54"/>
        <v>0</v>
      </c>
      <c r="CT84" s="27">
        <f t="shared" si="54"/>
        <v>0</v>
      </c>
      <c r="CU84" s="27">
        <f t="shared" si="54"/>
        <v>0</v>
      </c>
      <c r="CV84" s="27">
        <f t="shared" si="54"/>
        <v>0</v>
      </c>
      <c r="CW84" s="27">
        <f t="shared" si="54"/>
        <v>0</v>
      </c>
      <c r="CX84" s="27">
        <f t="shared" si="54"/>
        <v>0</v>
      </c>
      <c r="CY84" s="27">
        <f t="shared" si="54"/>
        <v>0</v>
      </c>
      <c r="CZ84" s="27">
        <f t="shared" si="54"/>
        <v>0</v>
      </c>
      <c r="DA84" s="27">
        <f t="shared" si="54"/>
        <v>0</v>
      </c>
    </row>
    <row r="86" spans="2:105" x14ac:dyDescent="0.35">
      <c r="C86" s="15" t="s">
        <v>125</v>
      </c>
      <c r="D86" s="25">
        <f>E18</f>
        <v>53100</v>
      </c>
      <c r="E86" s="25">
        <f>D86</f>
        <v>53100</v>
      </c>
    </row>
    <row r="88" spans="2:105" x14ac:dyDescent="0.35">
      <c r="C88" s="15" t="s">
        <v>127</v>
      </c>
      <c r="E88" s="25">
        <f>E84-E86</f>
        <v>-53100</v>
      </c>
      <c r="F88" s="25">
        <f t="shared" ref="F88:BQ88" si="55">F84-F86</f>
        <v>2792.3026629206897</v>
      </c>
      <c r="G88" s="25">
        <f t="shared" si="55"/>
        <v>2931.9177960667248</v>
      </c>
      <c r="H88" s="25">
        <f t="shared" si="55"/>
        <v>3078.5136858700607</v>
      </c>
      <c r="I88" s="25">
        <f t="shared" si="55"/>
        <v>3232.4393701635636</v>
      </c>
      <c r="J88" s="25">
        <f t="shared" si="55"/>
        <v>3394.0613386717423</v>
      </c>
      <c r="K88" s="25">
        <f t="shared" si="55"/>
        <v>3563.7644056053291</v>
      </c>
      <c r="L88" s="25">
        <f t="shared" si="55"/>
        <v>3741.9526258855954</v>
      </c>
      <c r="M88" s="25">
        <f t="shared" si="55"/>
        <v>3929.0502571798756</v>
      </c>
      <c r="N88" s="25">
        <f t="shared" si="55"/>
        <v>4125.5027700388691</v>
      </c>
      <c r="O88" s="25">
        <f t="shared" si="55"/>
        <v>4331.7779085408138</v>
      </c>
      <c r="P88" s="25">
        <f t="shared" si="55"/>
        <v>4548.3668039678541</v>
      </c>
      <c r="Q88" s="25">
        <f t="shared" si="55"/>
        <v>4775.7851441662469</v>
      </c>
      <c r="R88" s="25">
        <f t="shared" si="55"/>
        <v>5014.5744013745607</v>
      </c>
      <c r="S88" s="25">
        <f t="shared" si="55"/>
        <v>5265.3031214432904</v>
      </c>
      <c r="T88" s="25">
        <f t="shared" si="55"/>
        <v>5528.5682775154528</v>
      </c>
      <c r="U88" s="25">
        <f t="shared" si="55"/>
        <v>5804.9966913912258</v>
      </c>
      <c r="V88" s="25">
        <f t="shared" si="55"/>
        <v>6095.2465259607879</v>
      </c>
      <c r="W88" s="25">
        <f t="shared" si="55"/>
        <v>6400.0088522588267</v>
      </c>
      <c r="X88" s="25">
        <f t="shared" si="55"/>
        <v>6720.0092948717684</v>
      </c>
      <c r="Y88" s="25">
        <f t="shared" si="55"/>
        <v>7056.0097596153591</v>
      </c>
      <c r="Z88" s="25">
        <f t="shared" si="55"/>
        <v>7408.8102475961259</v>
      </c>
      <c r="AA88" s="25">
        <f t="shared" si="55"/>
        <v>7779.2507599759329</v>
      </c>
      <c r="AB88" s="25">
        <f t="shared" si="55"/>
        <v>8168.2132979747303</v>
      </c>
      <c r="AC88" s="25">
        <f t="shared" si="55"/>
        <v>8576.6239628734656</v>
      </c>
      <c r="AD88" s="25">
        <f t="shared" si="55"/>
        <v>9005.4551610171402</v>
      </c>
      <c r="AE88" s="25">
        <f t="shared" si="55"/>
        <v>9455.7279190679983</v>
      </c>
      <c r="AF88" s="25">
        <f t="shared" si="55"/>
        <v>9928.5143150213989</v>
      </c>
      <c r="AG88" s="25">
        <f t="shared" si="55"/>
        <v>10424.940030772468</v>
      </c>
      <c r="AH88" s="25">
        <f t="shared" si="55"/>
        <v>10946.187032311094</v>
      </c>
      <c r="AI88" s="25">
        <f t="shared" si="55"/>
        <v>11493.496383926647</v>
      </c>
      <c r="AJ88" s="25">
        <f t="shared" si="55"/>
        <v>0</v>
      </c>
      <c r="AK88" s="25">
        <f t="shared" si="55"/>
        <v>0</v>
      </c>
      <c r="AL88" s="25">
        <f t="shared" si="55"/>
        <v>0</v>
      </c>
      <c r="AM88" s="25">
        <f t="shared" si="55"/>
        <v>0</v>
      </c>
      <c r="AN88" s="25">
        <f t="shared" si="55"/>
        <v>0</v>
      </c>
      <c r="AO88" s="25">
        <f t="shared" si="55"/>
        <v>0</v>
      </c>
      <c r="AP88" s="25">
        <f t="shared" si="55"/>
        <v>0</v>
      </c>
      <c r="AQ88" s="25">
        <f t="shared" si="55"/>
        <v>0</v>
      </c>
      <c r="AR88" s="25">
        <f t="shared" si="55"/>
        <v>0</v>
      </c>
      <c r="AS88" s="25">
        <f t="shared" si="55"/>
        <v>0</v>
      </c>
      <c r="AT88" s="25">
        <f t="shared" si="55"/>
        <v>0</v>
      </c>
      <c r="AU88" s="25">
        <f t="shared" si="55"/>
        <v>0</v>
      </c>
      <c r="AV88" s="25">
        <f t="shared" si="55"/>
        <v>0</v>
      </c>
      <c r="AW88" s="25">
        <f t="shared" si="55"/>
        <v>0</v>
      </c>
      <c r="AX88" s="25">
        <f t="shared" si="55"/>
        <v>0</v>
      </c>
      <c r="AY88" s="25">
        <f t="shared" si="55"/>
        <v>0</v>
      </c>
      <c r="AZ88" s="25">
        <f t="shared" si="55"/>
        <v>0</v>
      </c>
      <c r="BA88" s="25">
        <f t="shared" si="55"/>
        <v>0</v>
      </c>
      <c r="BB88" s="25">
        <f t="shared" si="55"/>
        <v>0</v>
      </c>
      <c r="BC88" s="25">
        <f t="shared" si="55"/>
        <v>0</v>
      </c>
      <c r="BD88" s="25">
        <f t="shared" si="55"/>
        <v>0</v>
      </c>
      <c r="BE88" s="25">
        <f t="shared" si="55"/>
        <v>0</v>
      </c>
      <c r="BF88" s="25">
        <f t="shared" si="55"/>
        <v>0</v>
      </c>
      <c r="BG88" s="25">
        <f t="shared" si="55"/>
        <v>0</v>
      </c>
      <c r="BH88" s="25">
        <f t="shared" si="55"/>
        <v>0</v>
      </c>
      <c r="BI88" s="25">
        <f t="shared" si="55"/>
        <v>0</v>
      </c>
      <c r="BJ88" s="25">
        <f t="shared" si="55"/>
        <v>0</v>
      </c>
      <c r="BK88" s="25">
        <f t="shared" si="55"/>
        <v>0</v>
      </c>
      <c r="BL88" s="25">
        <f t="shared" si="55"/>
        <v>0</v>
      </c>
      <c r="BM88" s="25">
        <f t="shared" si="55"/>
        <v>0</v>
      </c>
      <c r="BN88" s="25">
        <f t="shared" si="55"/>
        <v>0</v>
      </c>
      <c r="BO88" s="25">
        <f t="shared" si="55"/>
        <v>0</v>
      </c>
      <c r="BP88" s="25">
        <f t="shared" si="55"/>
        <v>0</v>
      </c>
      <c r="BQ88" s="25">
        <f t="shared" si="55"/>
        <v>0</v>
      </c>
      <c r="BR88" s="25">
        <f t="shared" ref="BR88:DA88" si="56">BR84-BR86</f>
        <v>0</v>
      </c>
      <c r="BS88" s="25">
        <f t="shared" si="56"/>
        <v>0</v>
      </c>
      <c r="BT88" s="25">
        <f t="shared" si="56"/>
        <v>0</v>
      </c>
      <c r="BU88" s="25">
        <f t="shared" si="56"/>
        <v>0</v>
      </c>
      <c r="BV88" s="25">
        <f t="shared" si="56"/>
        <v>0</v>
      </c>
      <c r="BW88" s="25">
        <f t="shared" si="56"/>
        <v>0</v>
      </c>
      <c r="BX88" s="25">
        <f t="shared" si="56"/>
        <v>0</v>
      </c>
      <c r="BY88" s="25">
        <f t="shared" si="56"/>
        <v>0</v>
      </c>
      <c r="BZ88" s="25">
        <f t="shared" si="56"/>
        <v>0</v>
      </c>
      <c r="CA88" s="25">
        <f t="shared" si="56"/>
        <v>0</v>
      </c>
      <c r="CB88" s="25">
        <f t="shared" si="56"/>
        <v>0</v>
      </c>
      <c r="CC88" s="25">
        <f t="shared" si="56"/>
        <v>0</v>
      </c>
      <c r="CD88" s="25">
        <f t="shared" si="56"/>
        <v>0</v>
      </c>
      <c r="CE88" s="25">
        <f t="shared" si="56"/>
        <v>0</v>
      </c>
      <c r="CF88" s="25">
        <f t="shared" si="56"/>
        <v>0</v>
      </c>
      <c r="CG88" s="25">
        <f t="shared" si="56"/>
        <v>0</v>
      </c>
      <c r="CH88" s="25">
        <f t="shared" si="56"/>
        <v>0</v>
      </c>
      <c r="CI88" s="25">
        <f t="shared" si="56"/>
        <v>0</v>
      </c>
      <c r="CJ88" s="25">
        <f t="shared" si="56"/>
        <v>0</v>
      </c>
      <c r="CK88" s="25">
        <f t="shared" si="56"/>
        <v>0</v>
      </c>
      <c r="CL88" s="25">
        <f t="shared" si="56"/>
        <v>0</v>
      </c>
      <c r="CM88" s="25">
        <f t="shared" si="56"/>
        <v>0</v>
      </c>
      <c r="CN88" s="25">
        <f t="shared" si="56"/>
        <v>0</v>
      </c>
      <c r="CO88" s="25">
        <f t="shared" si="56"/>
        <v>0</v>
      </c>
      <c r="CP88" s="25">
        <f t="shared" si="56"/>
        <v>0</v>
      </c>
      <c r="CQ88" s="25">
        <f t="shared" si="56"/>
        <v>0</v>
      </c>
      <c r="CR88" s="25">
        <f t="shared" si="56"/>
        <v>0</v>
      </c>
      <c r="CS88" s="25">
        <f t="shared" si="56"/>
        <v>0</v>
      </c>
      <c r="CT88" s="25">
        <f t="shared" si="56"/>
        <v>0</v>
      </c>
      <c r="CU88" s="25">
        <f t="shared" si="56"/>
        <v>0</v>
      </c>
      <c r="CV88" s="25">
        <f t="shared" si="56"/>
        <v>0</v>
      </c>
      <c r="CW88" s="25">
        <f t="shared" si="56"/>
        <v>0</v>
      </c>
      <c r="CX88" s="25">
        <f t="shared" si="56"/>
        <v>0</v>
      </c>
      <c r="CY88" s="25">
        <f t="shared" si="56"/>
        <v>0</v>
      </c>
      <c r="CZ88" s="25">
        <f t="shared" si="56"/>
        <v>0</v>
      </c>
      <c r="DA88" s="25">
        <f t="shared" si="56"/>
        <v>0</v>
      </c>
    </row>
    <row r="89" spans="2:105" x14ac:dyDescent="0.35"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</row>
    <row r="90" spans="2:105" x14ac:dyDescent="0.35">
      <c r="C90" s="15" t="s">
        <v>128</v>
      </c>
      <c r="E90" s="17">
        <f>IRR(E88:DA88)</f>
        <v>8.0000000000000293E-2</v>
      </c>
    </row>
    <row r="91" spans="2:105" x14ac:dyDescent="0.35">
      <c r="C91" s="15" t="s">
        <v>144</v>
      </c>
      <c r="E91" s="17">
        <f>E42</f>
        <v>0.08</v>
      </c>
    </row>
    <row r="92" spans="2:105" x14ac:dyDescent="0.35">
      <c r="C92" s="15" t="s">
        <v>129</v>
      </c>
      <c r="E92" s="15" t="b">
        <f>ROUND(E90-E91,4)=0</f>
        <v>1</v>
      </c>
    </row>
    <row r="95" spans="2:105" x14ac:dyDescent="0.35">
      <c r="B95" s="15" t="s">
        <v>145</v>
      </c>
    </row>
    <row r="96" spans="2:105" x14ac:dyDescent="0.35">
      <c r="C96" s="15" t="s">
        <v>138</v>
      </c>
      <c r="D96" s="17">
        <f>E90</f>
        <v>8.0000000000000293E-2</v>
      </c>
      <c r="E96" s="25">
        <f>NPV(D96,F80:DA80)</f>
        <v>83051.087004487461</v>
      </c>
    </row>
    <row r="97" spans="2:5" x14ac:dyDescent="0.35">
      <c r="C97" s="15" t="s">
        <v>139</v>
      </c>
      <c r="D97" s="17">
        <f>E42</f>
        <v>0.08</v>
      </c>
      <c r="E97" s="25">
        <f>NPV(D97,F77:DA77)</f>
        <v>2169600.0058875261</v>
      </c>
    </row>
    <row r="98" spans="2:5" x14ac:dyDescent="0.35">
      <c r="C98" s="15" t="s">
        <v>114</v>
      </c>
      <c r="D98" s="15" t="s">
        <v>11</v>
      </c>
      <c r="E98" s="24">
        <f>E96/E97*1000</f>
        <v>38.279446339931887</v>
      </c>
    </row>
    <row r="99" spans="2:5" x14ac:dyDescent="0.35">
      <c r="C99" s="15" t="s">
        <v>143</v>
      </c>
      <c r="D99" s="15" t="s">
        <v>11</v>
      </c>
      <c r="E99" s="24">
        <f>E62</f>
        <v>38.279446339931908</v>
      </c>
    </row>
    <row r="100" spans="2:5" x14ac:dyDescent="0.35">
      <c r="C100" s="15" t="s">
        <v>129</v>
      </c>
      <c r="D100" s="15" t="s">
        <v>149</v>
      </c>
      <c r="E100" s="15" t="b">
        <f>ROUND(E98-E99,4)=0</f>
        <v>1</v>
      </c>
    </row>
    <row r="102" spans="2:5" x14ac:dyDescent="0.35">
      <c r="B102" s="15" t="s">
        <v>146</v>
      </c>
    </row>
    <row r="103" spans="2:5" x14ac:dyDescent="0.35">
      <c r="C103" s="15" t="s">
        <v>138</v>
      </c>
      <c r="D103" s="17">
        <f>E42</f>
        <v>0.08</v>
      </c>
      <c r="E103" s="24">
        <f>NPV(D103,F80:DA80)</f>
        <v>83051.087004487694</v>
      </c>
    </row>
    <row r="104" spans="2:5" x14ac:dyDescent="0.35">
      <c r="C104" s="15" t="s">
        <v>147</v>
      </c>
      <c r="D104" s="17">
        <f>E43</f>
        <v>2.8571428571428692E-2</v>
      </c>
      <c r="E104" s="25">
        <f>NPV(D104,F77:DA77)</f>
        <v>3848115.6583365672</v>
      </c>
    </row>
    <row r="105" spans="2:5" x14ac:dyDescent="0.35">
      <c r="C105" s="15" t="s">
        <v>114</v>
      </c>
      <c r="D105" s="15" t="s">
        <v>11</v>
      </c>
      <c r="E105" s="24">
        <f>E103/E104*1000</f>
        <v>21.582274125406187</v>
      </c>
    </row>
    <row r="106" spans="2:5" x14ac:dyDescent="0.35">
      <c r="C106" s="15" t="s">
        <v>148</v>
      </c>
      <c r="D106" s="15" t="s">
        <v>11</v>
      </c>
      <c r="E106" s="24">
        <f>E69</f>
        <v>21.582274125406162</v>
      </c>
    </row>
    <row r="107" spans="2:5" x14ac:dyDescent="0.35">
      <c r="C107" s="15" t="s">
        <v>129</v>
      </c>
      <c r="D107" s="15" t="s">
        <v>149</v>
      </c>
      <c r="E107" s="15" t="b">
        <f>ROUND(E105-E106,4)=0</f>
        <v>1</v>
      </c>
    </row>
    <row r="109" spans="2:5" x14ac:dyDescent="0.35">
      <c r="B109" s="15" t="s">
        <v>150</v>
      </c>
    </row>
  </sheetData>
  <conditionalFormatting sqref="L2:N3 A17:D30 J1:K2 G17 I12:M12 F7:XFD7 I18:M18 G19:G25 A8:B16 Q8:XFD10 I14:M14 I50:M52 F58:G59 F61:G61 I60:M60 G13 O15:O16 F63:G64 Q64:XFD67 F68:G68 F90:XFD1048576 DB88:XFD89 Q38:XFD38 A38:E45 F70:XFD87 I56:M56 I54:M54 A1:D14 L1:XFD1 E1:J3 F44:G45 G38:G39 I38:O39 I68:XFD69 I62:M67 I13:O13 I61:P61 I58:M58 I10:O11 I19:O25 G8:G11 I8:XFD9 I59:P59 I44:XFD45 I17:O17 G41:G43 A50:D89 A90:C92 E90:E92 A93:D1048576 S39:XFD43 I41:R43 Q19:XFD24 R11:XFD18 R25:XFD25 S50:XFD63 R2:XFD6 R27:XFD30 T26:XFD26 I27:O30 G27:G30">
    <cfRule type="expression" dxfId="101" priority="99">
      <formula>AND(A1&lt;&gt;"",A1=FALSE)</formula>
    </cfRule>
    <cfRule type="expression" dxfId="100" priority="100">
      <formula>A1=TRUE</formula>
    </cfRule>
  </conditionalFormatting>
  <conditionalFormatting sqref="O2:P3">
    <cfRule type="expression" dxfId="99" priority="97">
      <formula>AND(O2&lt;&gt;"",O2=FALSE)</formula>
    </cfRule>
    <cfRule type="expression" dxfId="98" priority="98">
      <formula>O2=TRUE</formula>
    </cfRule>
  </conditionalFormatting>
  <conditionalFormatting sqref="E17:E30 E7:E14 E50:E99 G18 G12 G14 F60:G60 F62:G62 F88:DA89 F65:G67 F69:G69 F50:G57 G40 I40:M40 I57:P57 I53:P53 I55:P55 E101:E106 E108:E1048576 F26:S26">
    <cfRule type="expression" dxfId="97" priority="95">
      <formula>AND(E7&lt;&gt;"",E7=FALSE)</formula>
    </cfRule>
    <cfRule type="expression" dxfId="96" priority="96">
      <formula>E7=TRUE</formula>
    </cfRule>
  </conditionalFormatting>
  <conditionalFormatting sqref="Q2:Q3">
    <cfRule type="expression" dxfId="95" priority="93">
      <formula>AND(Q2&lt;&gt;"",Q2=FALSE)</formula>
    </cfRule>
    <cfRule type="expression" dxfId="94" priority="94">
      <formula>Q2=TRUE</formula>
    </cfRule>
  </conditionalFormatting>
  <conditionalFormatting sqref="N12">
    <cfRule type="expression" dxfId="93" priority="91">
      <formula>AND(N12&lt;&gt;"",N12=FALSE)</formula>
    </cfRule>
    <cfRule type="expression" dxfId="92" priority="92">
      <formula>N12=TRUE</formula>
    </cfRule>
  </conditionalFormatting>
  <conditionalFormatting sqref="O12">
    <cfRule type="expression" dxfId="91" priority="89">
      <formula>AND(O12&lt;&gt;"",O12=FALSE)</formula>
    </cfRule>
    <cfRule type="expression" dxfId="90" priority="90">
      <formula>O12=TRUE</formula>
    </cfRule>
  </conditionalFormatting>
  <conditionalFormatting sqref="P13 P17 P10:P11 P38:P39 P19:P25 Q39:R39 P27:P30">
    <cfRule type="expression" dxfId="89" priority="87">
      <formula>AND(P10&lt;&gt;"",P10=FALSE)</formula>
    </cfRule>
    <cfRule type="expression" dxfId="88" priority="88">
      <formula>P10=TRUE</formula>
    </cfRule>
  </conditionalFormatting>
  <conditionalFormatting sqref="P12">
    <cfRule type="expression" dxfId="87" priority="85">
      <formula>AND(P12&lt;&gt;"",P12=FALSE)</formula>
    </cfRule>
    <cfRule type="expression" dxfId="86" priority="86">
      <formula>P12=TRUE</formula>
    </cfRule>
  </conditionalFormatting>
  <conditionalFormatting sqref="N18">
    <cfRule type="expression" dxfId="85" priority="83">
      <formula>AND(N18&lt;&gt;"",N18=FALSE)</formula>
    </cfRule>
    <cfRule type="expression" dxfId="84" priority="84">
      <formula>N18=TRUE</formula>
    </cfRule>
  </conditionalFormatting>
  <conditionalFormatting sqref="O18">
    <cfRule type="expression" dxfId="83" priority="81">
      <formula>AND(O18&lt;&gt;"",O18=FALSE)</formula>
    </cfRule>
    <cfRule type="expression" dxfId="82" priority="82">
      <formula>O18=TRUE</formula>
    </cfRule>
  </conditionalFormatting>
  <conditionalFormatting sqref="P18">
    <cfRule type="expression" dxfId="81" priority="79">
      <formula>AND(P18&lt;&gt;"",P18=FALSE)</formula>
    </cfRule>
    <cfRule type="expression" dxfId="80" priority="80">
      <formula>P18=TRUE</formula>
    </cfRule>
  </conditionalFormatting>
  <conditionalFormatting sqref="N58">
    <cfRule type="expression" dxfId="79" priority="77">
      <formula>AND(N58&lt;&gt;"",N58=FALSE)</formula>
    </cfRule>
    <cfRule type="expression" dxfId="78" priority="78">
      <formula>N58=TRUE</formula>
    </cfRule>
  </conditionalFormatting>
  <conditionalFormatting sqref="N50:N52 N56 N54">
    <cfRule type="expression" dxfId="77" priority="75">
      <formula>AND(N50&lt;&gt;"",N50=FALSE)</formula>
    </cfRule>
    <cfRule type="expression" dxfId="76" priority="76">
      <formula>N50=TRUE</formula>
    </cfRule>
  </conditionalFormatting>
  <conditionalFormatting sqref="O58">
    <cfRule type="expression" dxfId="75" priority="73">
      <formula>AND(O58&lt;&gt;"",O58=FALSE)</formula>
    </cfRule>
    <cfRule type="expression" dxfId="74" priority="74">
      <formula>O58=TRUE</formula>
    </cfRule>
  </conditionalFormatting>
  <conditionalFormatting sqref="O50:O52 O56 O54">
    <cfRule type="expression" dxfId="73" priority="71">
      <formula>AND(O50&lt;&gt;"",O50=FALSE)</formula>
    </cfRule>
    <cfRule type="expression" dxfId="72" priority="72">
      <formula>O50=TRUE</formula>
    </cfRule>
  </conditionalFormatting>
  <conditionalFormatting sqref="P58">
    <cfRule type="expression" dxfId="71" priority="69">
      <formula>AND(P58&lt;&gt;"",P58=FALSE)</formula>
    </cfRule>
    <cfRule type="expression" dxfId="70" priority="70">
      <formula>P58=TRUE</formula>
    </cfRule>
  </conditionalFormatting>
  <conditionalFormatting sqref="P50:P52 P56 P54">
    <cfRule type="expression" dxfId="69" priority="67">
      <formula>AND(P50&lt;&gt;"",P50=FALSE)</formula>
    </cfRule>
    <cfRule type="expression" dxfId="68" priority="68">
      <formula>P50=TRUE</formula>
    </cfRule>
  </conditionalFormatting>
  <conditionalFormatting sqref="N60">
    <cfRule type="expression" dxfId="67" priority="65">
      <formula>AND(N60&lt;&gt;"",N60=FALSE)</formula>
    </cfRule>
    <cfRule type="expression" dxfId="66" priority="66">
      <formula>N60=TRUE</formula>
    </cfRule>
  </conditionalFormatting>
  <conditionalFormatting sqref="O60">
    <cfRule type="expression" dxfId="65" priority="63">
      <formula>AND(O60&lt;&gt;"",O60=FALSE)</formula>
    </cfRule>
    <cfRule type="expression" dxfId="64" priority="64">
      <formula>O60=TRUE</formula>
    </cfRule>
  </conditionalFormatting>
  <conditionalFormatting sqref="P60">
    <cfRule type="expression" dxfId="63" priority="61">
      <formula>AND(P60&lt;&gt;"",P60=FALSE)</formula>
    </cfRule>
    <cfRule type="expression" dxfId="62" priority="62">
      <formula>P60=TRUE</formula>
    </cfRule>
  </conditionalFormatting>
  <conditionalFormatting sqref="N14">
    <cfRule type="expression" dxfId="61" priority="59">
      <formula>AND(N14&lt;&gt;"",N14=FALSE)</formula>
    </cfRule>
    <cfRule type="expression" dxfId="60" priority="60">
      <formula>N14=TRUE</formula>
    </cfRule>
  </conditionalFormatting>
  <conditionalFormatting sqref="O14">
    <cfRule type="expression" dxfId="59" priority="57">
      <formula>AND(O14&lt;&gt;"",O14=FALSE)</formula>
    </cfRule>
    <cfRule type="expression" dxfId="58" priority="58">
      <formula>O14=TRUE</formula>
    </cfRule>
  </conditionalFormatting>
  <conditionalFormatting sqref="P14">
    <cfRule type="expression" dxfId="57" priority="55">
      <formula>AND(P14&lt;&gt;"",P14=FALSE)</formula>
    </cfRule>
    <cfRule type="expression" dxfId="56" priority="56">
      <formula>P14=TRUE</formula>
    </cfRule>
  </conditionalFormatting>
  <conditionalFormatting sqref="N63:N67">
    <cfRule type="expression" dxfId="55" priority="53">
      <formula>AND(N63&lt;&gt;"",N63=FALSE)</formula>
    </cfRule>
    <cfRule type="expression" dxfId="54" priority="54">
      <formula>N63=TRUE</formula>
    </cfRule>
  </conditionalFormatting>
  <conditionalFormatting sqref="N62">
    <cfRule type="expression" dxfId="53" priority="51">
      <formula>AND(N62&lt;&gt;"",N62=FALSE)</formula>
    </cfRule>
    <cfRule type="expression" dxfId="52" priority="52">
      <formula>N62=TRUE</formula>
    </cfRule>
  </conditionalFormatting>
  <conditionalFormatting sqref="O63:O67">
    <cfRule type="expression" dxfId="51" priority="49">
      <formula>AND(O63&lt;&gt;"",O63=FALSE)</formula>
    </cfRule>
    <cfRule type="expression" dxfId="50" priority="50">
      <formula>O63=TRUE</formula>
    </cfRule>
  </conditionalFormatting>
  <conditionalFormatting sqref="O62">
    <cfRule type="expression" dxfId="49" priority="47">
      <formula>AND(O62&lt;&gt;"",O62=FALSE)</formula>
    </cfRule>
    <cfRule type="expression" dxfId="48" priority="48">
      <formula>O62=TRUE</formula>
    </cfRule>
  </conditionalFormatting>
  <conditionalFormatting sqref="P63:P67">
    <cfRule type="expression" dxfId="47" priority="45">
      <formula>AND(P63&lt;&gt;"",P63=FALSE)</formula>
    </cfRule>
    <cfRule type="expression" dxfId="46" priority="46">
      <formula>P63=TRUE</formula>
    </cfRule>
  </conditionalFormatting>
  <conditionalFormatting sqref="P62">
    <cfRule type="expression" dxfId="45" priority="43">
      <formula>AND(P62&lt;&gt;"",P62=FALSE)</formula>
    </cfRule>
    <cfRule type="expression" dxfId="44" priority="44">
      <formula>P62=TRUE</formula>
    </cfRule>
  </conditionalFormatting>
  <conditionalFormatting sqref="N40">
    <cfRule type="expression" dxfId="43" priority="41">
      <formula>AND(N40&lt;&gt;"",N40=FALSE)</formula>
    </cfRule>
    <cfRule type="expression" dxfId="42" priority="42">
      <formula>N40=TRUE</formula>
    </cfRule>
  </conditionalFormatting>
  <conditionalFormatting sqref="O40">
    <cfRule type="expression" dxfId="41" priority="39">
      <formula>AND(O40&lt;&gt;"",O40=FALSE)</formula>
    </cfRule>
    <cfRule type="expression" dxfId="40" priority="40">
      <formula>O40=TRUE</formula>
    </cfRule>
  </conditionalFormatting>
  <conditionalFormatting sqref="P40:R40">
    <cfRule type="expression" dxfId="39" priority="37">
      <formula>AND(P40&lt;&gt;"",P40=FALSE)</formula>
    </cfRule>
    <cfRule type="expression" dxfId="38" priority="38">
      <formula>P40=TRUE</formula>
    </cfRule>
  </conditionalFormatting>
  <conditionalFormatting sqref="H17 H19:H25 H58:H59 H61 H13 H63:H64 H68 H41:H45 H38:H39 H8:H11 H27:H30">
    <cfRule type="expression" dxfId="37" priority="35">
      <formula>AND(H8&lt;&gt;"",H8=FALSE)</formula>
    </cfRule>
    <cfRule type="expression" dxfId="36" priority="36">
      <formula>H8=TRUE</formula>
    </cfRule>
  </conditionalFormatting>
  <conditionalFormatting sqref="H18 H12 H14 H60 H62 H65:H67 H69 H50:H57 H40">
    <cfRule type="expression" dxfId="35" priority="33">
      <formula>AND(H12&lt;&gt;"",H12=FALSE)</formula>
    </cfRule>
    <cfRule type="expression" dxfId="34" priority="34">
      <formula>H12=TRUE</formula>
    </cfRule>
  </conditionalFormatting>
  <conditionalFormatting sqref="F38:F43">
    <cfRule type="expression" dxfId="33" priority="31">
      <formula>AND(F38&lt;&gt;"",F38=FALSE)</formula>
    </cfRule>
    <cfRule type="expression" dxfId="32" priority="32">
      <formula>F38=TRUE</formula>
    </cfRule>
  </conditionalFormatting>
  <conditionalFormatting sqref="F17:F25 F8:F14 F27:F30">
    <cfRule type="expression" dxfId="31" priority="29">
      <formula>AND(F8&lt;&gt;"",F8=FALSE)</formula>
    </cfRule>
    <cfRule type="expression" dxfId="30" priority="30">
      <formula>F8=TRUE</formula>
    </cfRule>
  </conditionalFormatting>
  <conditionalFormatting sqref="E100">
    <cfRule type="expression" dxfId="29" priority="27">
      <formula>AND(E100&lt;&gt;"",E100=FALSE)</formula>
    </cfRule>
    <cfRule type="expression" dxfId="28" priority="28">
      <formula>E100=TRUE</formula>
    </cfRule>
  </conditionalFormatting>
  <conditionalFormatting sqref="E107">
    <cfRule type="expression" dxfId="27" priority="25">
      <formula>AND(E107&lt;&gt;"",E107=FALSE)</formula>
    </cfRule>
    <cfRule type="expression" dxfId="26" priority="26">
      <formula>E107=TRUE</formula>
    </cfRule>
  </conditionalFormatting>
  <conditionalFormatting sqref="Q13 Q17 Q11">
    <cfRule type="expression" dxfId="25" priority="23">
      <formula>AND(Q11&lt;&gt;"",Q11=FALSE)</formula>
    </cfRule>
    <cfRule type="expression" dxfId="24" priority="24">
      <formula>Q11=TRUE</formula>
    </cfRule>
  </conditionalFormatting>
  <conditionalFormatting sqref="Q12">
    <cfRule type="expression" dxfId="23" priority="21">
      <formula>AND(Q12&lt;&gt;"",Q12=FALSE)</formula>
    </cfRule>
    <cfRule type="expression" dxfId="22" priority="22">
      <formula>Q12=TRUE</formula>
    </cfRule>
  </conditionalFormatting>
  <conditionalFormatting sqref="Q18">
    <cfRule type="expression" dxfId="21" priority="19">
      <formula>AND(Q18&lt;&gt;"",Q18=FALSE)</formula>
    </cfRule>
    <cfRule type="expression" dxfId="20" priority="20">
      <formula>Q18=TRUE</formula>
    </cfRule>
  </conditionalFormatting>
  <conditionalFormatting sqref="Q14">
    <cfRule type="expression" dxfId="19" priority="17">
      <formula>AND(Q14&lt;&gt;"",Q14=FALSE)</formula>
    </cfRule>
    <cfRule type="expression" dxfId="18" priority="18">
      <formula>Q14=TRUE</formula>
    </cfRule>
  </conditionalFormatting>
  <conditionalFormatting sqref="Q25 Q27:Q30">
    <cfRule type="expression" dxfId="17" priority="15">
      <formula>AND(Q25&lt;&gt;"",Q25=FALSE)</formula>
    </cfRule>
    <cfRule type="expression" dxfId="16" priority="16">
      <formula>Q25=TRUE</formula>
    </cfRule>
  </conditionalFormatting>
  <conditionalFormatting sqref="Q61:R61 Q59:R59">
    <cfRule type="expression" dxfId="15" priority="13">
      <formula>AND(Q59&lt;&gt;"",Q59=FALSE)</formula>
    </cfRule>
    <cfRule type="expression" dxfId="14" priority="14">
      <formula>Q59=TRUE</formula>
    </cfRule>
  </conditionalFormatting>
  <conditionalFormatting sqref="Q57:R57 Q53:R53 Q55:R55">
    <cfRule type="expression" dxfId="13" priority="11">
      <formula>AND(Q53&lt;&gt;"",Q53=FALSE)</formula>
    </cfRule>
    <cfRule type="expression" dxfId="12" priority="12">
      <formula>Q53=TRUE</formula>
    </cfRule>
  </conditionalFormatting>
  <conditionalFormatting sqref="Q58:R58">
    <cfRule type="expression" dxfId="11" priority="9">
      <formula>AND(Q58&lt;&gt;"",Q58=FALSE)</formula>
    </cfRule>
    <cfRule type="expression" dxfId="10" priority="10">
      <formula>Q58=TRUE</formula>
    </cfRule>
  </conditionalFormatting>
  <conditionalFormatting sqref="Q50:R52 Q56:R56 Q54:R54">
    <cfRule type="expression" dxfId="9" priority="7">
      <formula>AND(Q50&lt;&gt;"",Q50=FALSE)</formula>
    </cfRule>
    <cfRule type="expression" dxfId="8" priority="8">
      <formula>Q50=TRUE</formula>
    </cfRule>
  </conditionalFormatting>
  <conditionalFormatting sqref="Q60:R60">
    <cfRule type="expression" dxfId="7" priority="5">
      <formula>AND(Q60&lt;&gt;"",Q60=FALSE)</formula>
    </cfRule>
    <cfRule type="expression" dxfId="6" priority="6">
      <formula>Q60=TRUE</formula>
    </cfRule>
  </conditionalFormatting>
  <conditionalFormatting sqref="Q63:R63">
    <cfRule type="expression" dxfId="5" priority="3">
      <formula>AND(Q63&lt;&gt;"",Q63=FALSE)</formula>
    </cfRule>
    <cfRule type="expression" dxfId="4" priority="4">
      <formula>Q63=TRUE</formula>
    </cfRule>
  </conditionalFormatting>
  <conditionalFormatting sqref="Q62:R62">
    <cfRule type="expression" dxfId="3" priority="1">
      <formula>AND(Q62&lt;&gt;"",Q62=FALSE)</formula>
    </cfRule>
    <cfRule type="expression" dxfId="2" priority="2">
      <formula>Q62=TRUE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D89A4-EA30-4560-B7F9-378CAE3E4EA0}">
  <sheetPr codeName="Sheet8"/>
  <dimension ref="C4:E14"/>
  <sheetViews>
    <sheetView workbookViewId="0">
      <selection activeCell="C16" sqref="C16"/>
    </sheetView>
  </sheetViews>
  <sheetFormatPr defaultRowHeight="14.5" x14ac:dyDescent="0.35"/>
  <cols>
    <col min="3" max="3" width="21.36328125" customWidth="1"/>
    <col min="5" max="5" width="9.08984375" bestFit="1" customWidth="1"/>
  </cols>
  <sheetData>
    <row r="4" spans="3:5" x14ac:dyDescent="0.35">
      <c r="C4" t="s">
        <v>151</v>
      </c>
      <c r="E4" s="1">
        <v>0.8</v>
      </c>
    </row>
    <row r="5" spans="3:5" x14ac:dyDescent="0.35">
      <c r="C5" t="s">
        <v>97</v>
      </c>
      <c r="E5" s="5">
        <f>E4*24</f>
        <v>19.200000000000003</v>
      </c>
    </row>
    <row r="7" spans="3:5" x14ac:dyDescent="0.35">
      <c r="C7" t="s">
        <v>152</v>
      </c>
      <c r="E7" s="1">
        <f>'LCOE Calculator'!E10</f>
        <v>0.22</v>
      </c>
    </row>
    <row r="8" spans="3:5" x14ac:dyDescent="0.35">
      <c r="C8" t="s">
        <v>97</v>
      </c>
      <c r="E8" s="5">
        <f>E7*24</f>
        <v>5.28</v>
      </c>
    </row>
    <row r="10" spans="3:5" x14ac:dyDescent="0.35">
      <c r="C10" t="s">
        <v>153</v>
      </c>
      <c r="E10" s="6">
        <f>E5-E8</f>
        <v>13.920000000000002</v>
      </c>
    </row>
    <row r="11" spans="3:5" x14ac:dyDescent="0.35">
      <c r="E11" s="6"/>
    </row>
    <row r="12" spans="3:5" x14ac:dyDescent="0.35">
      <c r="C12" t="s">
        <v>154</v>
      </c>
      <c r="E12" s="29">
        <f>'LCOE Calculator'!E8</f>
        <v>100</v>
      </c>
    </row>
    <row r="13" spans="3:5" x14ac:dyDescent="0.35">
      <c r="C13" t="s">
        <v>61</v>
      </c>
      <c r="D13" t="s">
        <v>107</v>
      </c>
      <c r="E13" s="29">
        <f>E12</f>
        <v>100</v>
      </c>
    </row>
    <row r="14" spans="3:5" x14ac:dyDescent="0.35">
      <c r="C14" t="s">
        <v>61</v>
      </c>
      <c r="D14" t="s">
        <v>96</v>
      </c>
      <c r="E14" s="29">
        <f>E13*E10</f>
        <v>1392.0000000000002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57E7B-0067-4CDD-A5AA-ACB9F495AC74}">
  <sheetPr codeName="Sheet2"/>
  <dimension ref="C2:J28"/>
  <sheetViews>
    <sheetView showGridLines="0" tabSelected="1" workbookViewId="0">
      <selection activeCell="J4" sqref="J4"/>
    </sheetView>
  </sheetViews>
  <sheetFormatPr defaultRowHeight="14.5" x14ac:dyDescent="0.35"/>
  <cols>
    <col min="3" max="3" width="28.1796875" customWidth="1"/>
    <col min="4" max="4" width="15.54296875" customWidth="1"/>
    <col min="5" max="10" width="11.36328125" customWidth="1"/>
  </cols>
  <sheetData>
    <row r="2" spans="3:10" ht="29" x14ac:dyDescent="0.35">
      <c r="E2" s="10" t="s">
        <v>47</v>
      </c>
      <c r="F2" s="10" t="s">
        <v>48</v>
      </c>
      <c r="G2" s="10" t="s">
        <v>43</v>
      </c>
      <c r="H2" s="10" t="s">
        <v>44</v>
      </c>
      <c r="I2" s="10" t="s">
        <v>45</v>
      </c>
      <c r="J2" s="10" t="s">
        <v>46</v>
      </c>
    </row>
    <row r="3" spans="3:10" x14ac:dyDescent="0.35">
      <c r="C3" t="s">
        <v>42</v>
      </c>
      <c r="D3" t="s">
        <v>27</v>
      </c>
      <c r="E3" s="5">
        <v>1869.58</v>
      </c>
      <c r="F3" s="9">
        <f>E3</f>
        <v>1869.58</v>
      </c>
      <c r="G3" s="2">
        <v>1904</v>
      </c>
      <c r="H3" s="5">
        <v>1887.5</v>
      </c>
      <c r="I3" s="5">
        <v>1892</v>
      </c>
      <c r="J3">
        <f>5.53*365</f>
        <v>2018.45</v>
      </c>
    </row>
    <row r="4" spans="3:10" x14ac:dyDescent="0.35">
      <c r="C4" t="s">
        <v>25</v>
      </c>
      <c r="D4" t="s">
        <v>27</v>
      </c>
      <c r="E4" s="5">
        <v>2315.33</v>
      </c>
      <c r="F4" s="5">
        <v>3123</v>
      </c>
      <c r="G4" s="2">
        <f>G3</f>
        <v>1904</v>
      </c>
      <c r="H4" s="5">
        <v>2497.1999999999998</v>
      </c>
    </row>
    <row r="5" spans="3:10" x14ac:dyDescent="0.35">
      <c r="C5" t="s">
        <v>28</v>
      </c>
      <c r="D5" t="s">
        <v>29</v>
      </c>
      <c r="E5" s="5">
        <f>E4/8760</f>
        <v>0.26430707762557076</v>
      </c>
      <c r="F5" s="5">
        <f>F4/8760</f>
        <v>0.35650684931506849</v>
      </c>
      <c r="G5" s="5">
        <f>G4/8760</f>
        <v>0.21735159817351599</v>
      </c>
      <c r="H5" s="5">
        <f>H4/8760</f>
        <v>0.28506849315068489</v>
      </c>
    </row>
    <row r="6" spans="3:10" x14ac:dyDescent="0.35">
      <c r="C6" t="s">
        <v>28</v>
      </c>
      <c r="D6" t="s">
        <v>30</v>
      </c>
      <c r="E6" s="5">
        <f>E5*1000</f>
        <v>264.30707762557074</v>
      </c>
      <c r="F6" s="5">
        <f>F5*1000</f>
        <v>356.50684931506851</v>
      </c>
      <c r="G6" s="5">
        <f>G5*1000</f>
        <v>217.35159817351598</v>
      </c>
      <c r="H6" s="5">
        <f>H5*1000</f>
        <v>285.0684931506849</v>
      </c>
    </row>
    <row r="7" spans="3:10" x14ac:dyDescent="0.35">
      <c r="E7" s="5"/>
      <c r="F7" s="5"/>
      <c r="G7" s="5"/>
      <c r="H7" s="5"/>
    </row>
    <row r="8" spans="3:10" x14ac:dyDescent="0.35">
      <c r="C8" t="s">
        <v>53</v>
      </c>
      <c r="D8" t="s">
        <v>52</v>
      </c>
      <c r="E8" s="5">
        <f>E4/E3</f>
        <v>1.2384225334032242</v>
      </c>
      <c r="F8" s="5">
        <f>F4/F3</f>
        <v>1.6704286524246088</v>
      </c>
      <c r="G8" s="5">
        <f>G4/G3</f>
        <v>1</v>
      </c>
      <c r="H8" s="5">
        <f>H4/H3</f>
        <v>1.3230198675496687</v>
      </c>
    </row>
    <row r="9" spans="3:10" x14ac:dyDescent="0.35">
      <c r="E9" s="5"/>
    </row>
    <row r="10" spans="3:10" x14ac:dyDescent="0.35">
      <c r="C10" t="s">
        <v>31</v>
      </c>
      <c r="D10" t="s">
        <v>26</v>
      </c>
      <c r="E10" s="5">
        <v>1000</v>
      </c>
      <c r="F10" s="5">
        <v>1000</v>
      </c>
      <c r="G10" s="5">
        <v>1000</v>
      </c>
      <c r="H10" s="5">
        <v>1000</v>
      </c>
    </row>
    <row r="11" spans="3:10" x14ac:dyDescent="0.35">
      <c r="C11" t="s">
        <v>50</v>
      </c>
      <c r="D11" t="s">
        <v>32</v>
      </c>
      <c r="E11" s="3">
        <f>E6/E10</f>
        <v>0.26430707762557076</v>
      </c>
      <c r="F11" s="3">
        <f>F6/F10</f>
        <v>0.35650684931506849</v>
      </c>
      <c r="G11" s="3">
        <f>G6/G10</f>
        <v>0.21735159817351599</v>
      </c>
      <c r="H11" s="3">
        <f>H6/H10</f>
        <v>0.28506849315068489</v>
      </c>
    </row>
    <row r="14" spans="3:10" x14ac:dyDescent="0.35">
      <c r="C14" t="s">
        <v>33</v>
      </c>
      <c r="D14" t="s">
        <v>34</v>
      </c>
      <c r="E14" s="6">
        <v>1</v>
      </c>
      <c r="F14" s="6">
        <v>1</v>
      </c>
      <c r="G14" s="5">
        <v>1</v>
      </c>
      <c r="H14">
        <v>344</v>
      </c>
    </row>
    <row r="15" spans="3:10" x14ac:dyDescent="0.35">
      <c r="C15" t="s">
        <v>35</v>
      </c>
      <c r="D15" t="s">
        <v>36</v>
      </c>
      <c r="E15">
        <v>1801.63</v>
      </c>
      <c r="F15">
        <v>2452</v>
      </c>
      <c r="G15" s="5">
        <v>1713.453</v>
      </c>
      <c r="H15">
        <v>754775</v>
      </c>
    </row>
    <row r="16" spans="3:10" x14ac:dyDescent="0.35">
      <c r="C16" t="s">
        <v>37</v>
      </c>
      <c r="D16" t="s">
        <v>38</v>
      </c>
      <c r="E16" s="2">
        <f>E15/8760</f>
        <v>0.20566552511415526</v>
      </c>
      <c r="F16" s="2">
        <f>F15/8760</f>
        <v>0.27990867579908674</v>
      </c>
      <c r="G16" s="2">
        <f>G15/8760</f>
        <v>0.19559965753424657</v>
      </c>
      <c r="H16" s="2">
        <f>H15/8760</f>
        <v>86.161529680365291</v>
      </c>
    </row>
    <row r="17" spans="3:8" ht="15" thickBot="1" x14ac:dyDescent="0.4">
      <c r="C17" s="7" t="s">
        <v>39</v>
      </c>
      <c r="D17" s="7" t="s">
        <v>32</v>
      </c>
      <c r="E17" s="8">
        <f>E16/E14</f>
        <v>0.20566552511415526</v>
      </c>
      <c r="F17" s="8">
        <f>F16</f>
        <v>0.27990867579908674</v>
      </c>
      <c r="G17" s="8">
        <f>G16</f>
        <v>0.19559965753424657</v>
      </c>
      <c r="H17" s="8">
        <f>H16/H14</f>
        <v>0.25046956302431772</v>
      </c>
    </row>
    <row r="19" spans="3:8" x14ac:dyDescent="0.35">
      <c r="C19" t="s">
        <v>40</v>
      </c>
      <c r="E19" s="3">
        <f>E17/E11</f>
        <v>0.77813097916927609</v>
      </c>
      <c r="F19" s="3">
        <f>F17/F11</f>
        <v>0.7851424911943643</v>
      </c>
      <c r="G19" s="3">
        <f>G17/G11</f>
        <v>0.89992279411764708</v>
      </c>
      <c r="H19" s="3">
        <f>H17/H11</f>
        <v>0.87862941378064374</v>
      </c>
    </row>
    <row r="27" spans="3:8" x14ac:dyDescent="0.35">
      <c r="F27">
        <v>2063</v>
      </c>
    </row>
    <row r="28" spans="3:8" x14ac:dyDescent="0.35">
      <c r="F28">
        <f>F27/8760</f>
        <v>0.23550228310502283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D7619-37D9-47A7-BA13-02E22DB6F4EC}">
  <sheetPr codeName="Sheet3"/>
  <dimension ref="F2:F3"/>
  <sheetViews>
    <sheetView workbookViewId="0">
      <selection activeCell="E5" sqref="E5"/>
    </sheetView>
  </sheetViews>
  <sheetFormatPr defaultRowHeight="14.5" x14ac:dyDescent="0.35"/>
  <sheetData>
    <row r="2" spans="6:6" x14ac:dyDescent="0.35">
      <c r="F2">
        <v>2082</v>
      </c>
    </row>
    <row r="3" spans="6:6" x14ac:dyDescent="0.35">
      <c r="F3" s="3">
        <f>F2/8760</f>
        <v>0.23767123287671232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8B563-933B-409B-8F26-86B9513595EC}">
  <sheetPr codeName="Sheet4"/>
  <dimension ref="C1:M15"/>
  <sheetViews>
    <sheetView workbookViewId="0"/>
  </sheetViews>
  <sheetFormatPr defaultRowHeight="14.5" x14ac:dyDescent="0.35"/>
  <cols>
    <col min="1" max="2" width="1.7265625" customWidth="1"/>
    <col min="3" max="3" width="43.54296875" customWidth="1"/>
    <col min="4" max="9" width="9.08984375" bestFit="1" customWidth="1"/>
    <col min="10" max="13" width="8.81640625" bestFit="1" customWidth="1"/>
  </cols>
  <sheetData>
    <row r="1" spans="3:13" x14ac:dyDescent="0.35">
      <c r="D1" t="s">
        <v>64</v>
      </c>
      <c r="F1" t="s">
        <v>65</v>
      </c>
      <c r="H1" t="s">
        <v>66</v>
      </c>
      <c r="J1" t="s">
        <v>67</v>
      </c>
      <c r="K1" t="s">
        <v>68</v>
      </c>
      <c r="L1" t="s">
        <v>67</v>
      </c>
      <c r="M1" t="s">
        <v>68</v>
      </c>
    </row>
    <row r="2" spans="3:13" x14ac:dyDescent="0.35">
      <c r="J2" t="s">
        <v>69</v>
      </c>
      <c r="L2" t="s">
        <v>70</v>
      </c>
    </row>
    <row r="3" spans="3:13" s="21" customFormat="1" x14ac:dyDescent="0.35">
      <c r="C3" s="21" t="s">
        <v>71</v>
      </c>
      <c r="D3" s="5">
        <v>5.0000000000000001E-3</v>
      </c>
      <c r="E3" s="5">
        <v>5.0000000000000001E-3</v>
      </c>
      <c r="F3" s="5">
        <v>1</v>
      </c>
      <c r="G3" s="5">
        <v>1</v>
      </c>
      <c r="H3" s="5">
        <v>5</v>
      </c>
      <c r="I3" s="5">
        <v>5</v>
      </c>
      <c r="J3" s="5">
        <v>150</v>
      </c>
      <c r="K3" s="5">
        <v>150</v>
      </c>
      <c r="L3" s="5">
        <v>150</v>
      </c>
      <c r="M3" s="5">
        <v>150</v>
      </c>
    </row>
    <row r="4" spans="3:13" s="21" customFormat="1" x14ac:dyDescent="0.35">
      <c r="C4" s="21" t="s">
        <v>72</v>
      </c>
      <c r="D4" s="5">
        <v>2525</v>
      </c>
      <c r="E4" s="5">
        <v>2825</v>
      </c>
      <c r="F4" s="5">
        <v>1600</v>
      </c>
      <c r="G4" s="5">
        <v>2825</v>
      </c>
      <c r="H4" s="5">
        <v>1300</v>
      </c>
      <c r="I4" s="5">
        <v>1500</v>
      </c>
      <c r="J4" s="5">
        <v>975</v>
      </c>
      <c r="K4" s="5">
        <v>825</v>
      </c>
      <c r="L4" s="5">
        <v>975</v>
      </c>
      <c r="M4" s="5">
        <v>825</v>
      </c>
    </row>
    <row r="5" spans="3:13" s="21" customFormat="1" x14ac:dyDescent="0.35">
      <c r="C5" s="21" t="s">
        <v>73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</row>
    <row r="6" spans="3:13" s="21" customFormat="1" x14ac:dyDescent="0.35">
      <c r="C6" s="22" t="s">
        <v>74</v>
      </c>
      <c r="D6" s="23">
        <v>2525</v>
      </c>
      <c r="E6" s="23">
        <v>2825</v>
      </c>
      <c r="F6" s="23">
        <v>1600</v>
      </c>
      <c r="G6" s="23">
        <v>2825</v>
      </c>
      <c r="H6" s="23">
        <v>1300</v>
      </c>
      <c r="I6" s="23">
        <v>1500</v>
      </c>
      <c r="J6" s="23">
        <v>975</v>
      </c>
      <c r="K6" s="23">
        <v>825</v>
      </c>
      <c r="L6" s="23">
        <v>975</v>
      </c>
      <c r="M6" s="23">
        <v>825</v>
      </c>
    </row>
    <row r="7" spans="3:13" s="21" customFormat="1" x14ac:dyDescent="0.35">
      <c r="C7" s="21" t="s">
        <v>75</v>
      </c>
      <c r="D7" s="5">
        <v>15</v>
      </c>
      <c r="E7" s="5">
        <v>18</v>
      </c>
      <c r="F7" s="5">
        <v>11.75</v>
      </c>
      <c r="G7" s="5">
        <v>18</v>
      </c>
      <c r="H7" s="5">
        <v>12</v>
      </c>
      <c r="I7" s="5">
        <v>16</v>
      </c>
      <c r="J7" s="5">
        <v>13.5</v>
      </c>
      <c r="K7" s="5">
        <v>9.5</v>
      </c>
      <c r="L7" s="5">
        <v>9.5</v>
      </c>
      <c r="M7" s="5">
        <v>13.5</v>
      </c>
    </row>
    <row r="8" spans="3:13" s="21" customFormat="1" x14ac:dyDescent="0.35">
      <c r="C8" s="21" t="s">
        <v>76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</row>
    <row r="9" spans="3:13" s="21" customFormat="1" x14ac:dyDescent="0.35">
      <c r="C9" s="21" t="s">
        <v>77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</row>
    <row r="10" spans="3:13" s="21" customFormat="1" x14ac:dyDescent="0.35">
      <c r="C10" s="21" t="s">
        <v>49</v>
      </c>
      <c r="D10" s="5">
        <v>18</v>
      </c>
      <c r="E10" s="5">
        <v>13</v>
      </c>
      <c r="F10" s="5">
        <v>23</v>
      </c>
      <c r="G10" s="5">
        <v>17</v>
      </c>
      <c r="H10" s="5">
        <v>21</v>
      </c>
      <c r="I10" s="5">
        <v>17</v>
      </c>
      <c r="J10" s="5">
        <v>34</v>
      </c>
      <c r="K10" s="5">
        <v>21</v>
      </c>
      <c r="L10" s="5">
        <v>36</v>
      </c>
      <c r="M10" s="5">
        <v>23</v>
      </c>
    </row>
    <row r="11" spans="3:13" s="21" customFormat="1" x14ac:dyDescent="0.35">
      <c r="C11" s="21" t="s">
        <v>78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</row>
    <row r="12" spans="3:13" s="21" customFormat="1" x14ac:dyDescent="0.35">
      <c r="C12" s="21" t="s">
        <v>79</v>
      </c>
      <c r="D12" s="5">
        <v>3</v>
      </c>
      <c r="E12" s="5">
        <v>3</v>
      </c>
      <c r="F12" s="5">
        <v>3</v>
      </c>
      <c r="G12" s="5">
        <v>3</v>
      </c>
      <c r="H12" s="5">
        <v>4</v>
      </c>
      <c r="I12" s="5">
        <v>4</v>
      </c>
      <c r="J12" s="5">
        <v>9</v>
      </c>
      <c r="K12" s="5">
        <v>9</v>
      </c>
      <c r="L12" s="5">
        <v>9</v>
      </c>
      <c r="M12" s="5">
        <v>9</v>
      </c>
    </row>
    <row r="13" spans="3:13" s="21" customFormat="1" x14ac:dyDescent="0.35">
      <c r="C13" s="21" t="s">
        <v>80</v>
      </c>
      <c r="D13" s="5">
        <v>25</v>
      </c>
      <c r="E13" s="5">
        <v>25</v>
      </c>
      <c r="F13" s="5">
        <v>25</v>
      </c>
      <c r="G13" s="5">
        <v>25</v>
      </c>
      <c r="H13" s="5">
        <v>30</v>
      </c>
      <c r="I13" s="5">
        <v>30</v>
      </c>
      <c r="J13" s="5">
        <v>30</v>
      </c>
      <c r="K13" s="5">
        <v>30</v>
      </c>
      <c r="L13" s="5">
        <v>30</v>
      </c>
      <c r="M13" s="5">
        <v>30</v>
      </c>
    </row>
    <row r="14" spans="3:13" s="21" customFormat="1" x14ac:dyDescent="0.35">
      <c r="C14" s="21" t="s">
        <v>81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</row>
    <row r="15" spans="3:13" s="21" customFormat="1" x14ac:dyDescent="0.35">
      <c r="C15" s="21" t="s">
        <v>82</v>
      </c>
      <c r="D15" s="5">
        <v>150</v>
      </c>
      <c r="E15" s="5">
        <v>227</v>
      </c>
      <c r="F15" s="5">
        <v>74</v>
      </c>
      <c r="G15" s="5">
        <v>179</v>
      </c>
      <c r="H15" s="5">
        <v>63</v>
      </c>
      <c r="I15" s="5">
        <v>94</v>
      </c>
      <c r="J15" s="5">
        <v>31</v>
      </c>
      <c r="K15" s="5">
        <v>42</v>
      </c>
      <c r="L15" s="5">
        <v>29</v>
      </c>
      <c r="M15" s="5">
        <v>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16EE6-5E19-479E-ADD1-AA72AFF053A0}">
  <sheetPr codeName="Sheet5"/>
  <dimension ref="C1:K15"/>
  <sheetViews>
    <sheetView workbookViewId="0">
      <selection activeCell="C13" sqref="C13"/>
    </sheetView>
  </sheetViews>
  <sheetFormatPr defaultRowHeight="14.5" x14ac:dyDescent="0.35"/>
  <cols>
    <col min="1" max="2" width="1.7265625" customWidth="1"/>
    <col min="3" max="3" width="59" bestFit="1" customWidth="1"/>
  </cols>
  <sheetData>
    <row r="1" spans="3:11" x14ac:dyDescent="0.35">
      <c r="D1" t="s">
        <v>83</v>
      </c>
      <c r="E1" t="s">
        <v>84</v>
      </c>
      <c r="F1" t="s">
        <v>20</v>
      </c>
      <c r="H1" t="s">
        <v>85</v>
      </c>
      <c r="J1" t="s">
        <v>86</v>
      </c>
    </row>
    <row r="2" spans="3:11" x14ac:dyDescent="0.35">
      <c r="D2" t="s">
        <v>87</v>
      </c>
      <c r="E2" t="s">
        <v>88</v>
      </c>
      <c r="F2" t="s">
        <v>87</v>
      </c>
      <c r="G2" t="s">
        <v>88</v>
      </c>
      <c r="H2" t="s">
        <v>87</v>
      </c>
      <c r="I2" t="s">
        <v>88</v>
      </c>
      <c r="J2" t="s">
        <v>87</v>
      </c>
      <c r="K2" t="s">
        <v>88</v>
      </c>
    </row>
    <row r="3" spans="3:11" s="21" customFormat="1" x14ac:dyDescent="0.35">
      <c r="C3" s="21" t="s">
        <v>71</v>
      </c>
      <c r="D3" s="21">
        <v>110</v>
      </c>
      <c r="E3" s="21">
        <v>150</v>
      </c>
      <c r="F3" s="21">
        <v>20</v>
      </c>
      <c r="G3" s="21">
        <v>50</v>
      </c>
      <c r="H3" s="21">
        <v>175</v>
      </c>
      <c r="I3" s="21">
        <v>175</v>
      </c>
      <c r="J3" s="21">
        <v>210</v>
      </c>
      <c r="K3" s="21">
        <v>385</v>
      </c>
    </row>
    <row r="4" spans="3:11" s="21" customFormat="1" x14ac:dyDescent="0.35">
      <c r="C4" s="21" t="s">
        <v>72</v>
      </c>
      <c r="D4" s="21">
        <v>7950</v>
      </c>
      <c r="E4" s="21">
        <v>5250</v>
      </c>
      <c r="F4" s="21">
        <v>3950</v>
      </c>
      <c r="G4" s="21">
        <v>5300</v>
      </c>
      <c r="H4" s="21">
        <v>1050</v>
      </c>
      <c r="I4" s="21">
        <v>1450</v>
      </c>
      <c r="J4" s="21">
        <v>2600</v>
      </c>
      <c r="K4" s="21">
        <v>3675</v>
      </c>
    </row>
    <row r="5" spans="3:11" s="21" customFormat="1" x14ac:dyDescent="0.35">
      <c r="C5" s="21" t="s">
        <v>73</v>
      </c>
      <c r="D5" s="21">
        <v>1150</v>
      </c>
      <c r="E5" s="21">
        <v>750</v>
      </c>
      <c r="F5" s="21">
        <v>550</v>
      </c>
      <c r="G5" s="21">
        <v>750</v>
      </c>
      <c r="H5" s="21">
        <v>0</v>
      </c>
      <c r="I5" s="21">
        <v>0</v>
      </c>
      <c r="J5" s="21">
        <v>0</v>
      </c>
      <c r="K5" s="21">
        <v>0</v>
      </c>
    </row>
    <row r="6" spans="3:11" s="21" customFormat="1" x14ac:dyDescent="0.35">
      <c r="C6" s="22" t="s">
        <v>74</v>
      </c>
      <c r="D6" s="22">
        <v>9090</v>
      </c>
      <c r="E6" s="22">
        <v>6000</v>
      </c>
      <c r="F6" s="22">
        <v>4500</v>
      </c>
      <c r="G6" s="22">
        <v>6050</v>
      </c>
      <c r="H6" s="22">
        <v>1050</v>
      </c>
      <c r="I6" s="22">
        <v>1450</v>
      </c>
      <c r="J6" s="22">
        <v>2600</v>
      </c>
      <c r="K6" s="22">
        <v>3675</v>
      </c>
    </row>
    <row r="7" spans="3:11" s="21" customFormat="1" x14ac:dyDescent="0.35">
      <c r="C7" s="21" t="s">
        <v>75</v>
      </c>
      <c r="D7" s="21">
        <v>75</v>
      </c>
      <c r="E7" s="21">
        <v>80</v>
      </c>
      <c r="F7" s="21">
        <v>13</v>
      </c>
      <c r="G7" s="21">
        <v>14</v>
      </c>
      <c r="H7" s="21">
        <v>27</v>
      </c>
      <c r="I7" s="21">
        <v>39.5</v>
      </c>
      <c r="J7" s="21">
        <v>67.25</v>
      </c>
      <c r="K7" s="21">
        <v>81.75</v>
      </c>
    </row>
    <row r="8" spans="3:11" s="21" customFormat="1" x14ac:dyDescent="0.35">
      <c r="C8" s="21" t="s">
        <v>76</v>
      </c>
      <c r="D8" s="21">
        <v>0</v>
      </c>
      <c r="E8" s="21">
        <v>0</v>
      </c>
      <c r="F8" s="21">
        <v>9</v>
      </c>
      <c r="G8" s="21">
        <v>24</v>
      </c>
      <c r="H8" s="21">
        <v>0</v>
      </c>
      <c r="I8" s="21">
        <v>0</v>
      </c>
      <c r="J8" s="21">
        <v>0</v>
      </c>
      <c r="K8" s="21">
        <v>0</v>
      </c>
    </row>
    <row r="9" spans="3:11" s="21" customFormat="1" x14ac:dyDescent="0.35">
      <c r="C9" s="21" t="s">
        <v>77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</row>
    <row r="10" spans="3:11" s="21" customFormat="1" x14ac:dyDescent="0.35">
      <c r="C10" s="21" t="s">
        <v>49</v>
      </c>
      <c r="D10" s="21">
        <v>68</v>
      </c>
      <c r="E10" s="21">
        <v>39</v>
      </c>
      <c r="F10" s="21">
        <v>90</v>
      </c>
      <c r="G10" s="21">
        <v>80</v>
      </c>
      <c r="H10" s="21">
        <v>55</v>
      </c>
      <c r="I10" s="21">
        <v>38</v>
      </c>
      <c r="J10" s="21">
        <v>52</v>
      </c>
      <c r="K10" s="21">
        <v>48</v>
      </c>
    </row>
    <row r="11" spans="3:11" s="21" customFormat="1" x14ac:dyDescent="0.35">
      <c r="C11" s="21" t="s">
        <v>78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</row>
    <row r="12" spans="3:11" s="21" customFormat="1" x14ac:dyDescent="0.35">
      <c r="C12" s="21" t="s">
        <v>79</v>
      </c>
      <c r="D12" s="21">
        <v>36</v>
      </c>
      <c r="E12" s="21">
        <v>36</v>
      </c>
      <c r="F12" s="21">
        <v>36</v>
      </c>
      <c r="G12" s="21">
        <v>36</v>
      </c>
      <c r="H12" s="21">
        <v>12</v>
      </c>
      <c r="I12" s="21">
        <v>12</v>
      </c>
      <c r="J12" s="21">
        <v>12</v>
      </c>
      <c r="K12" s="21">
        <v>12</v>
      </c>
    </row>
    <row r="13" spans="3:11" s="21" customFormat="1" x14ac:dyDescent="0.35">
      <c r="C13" s="21" t="s">
        <v>80</v>
      </c>
      <c r="D13" s="21">
        <v>35</v>
      </c>
      <c r="E13" s="21">
        <v>35</v>
      </c>
      <c r="F13" s="21">
        <v>25</v>
      </c>
      <c r="G13" s="21">
        <v>25</v>
      </c>
      <c r="H13" s="21">
        <v>20</v>
      </c>
      <c r="I13" s="21">
        <v>20</v>
      </c>
      <c r="J13" s="21">
        <v>20</v>
      </c>
      <c r="K13" s="21">
        <v>20</v>
      </c>
    </row>
    <row r="14" spans="3:11" s="21" customFormat="1" x14ac:dyDescent="0.35">
      <c r="C14" s="21" t="s">
        <v>81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</row>
    <row r="15" spans="3:11" s="21" customFormat="1" x14ac:dyDescent="0.35">
      <c r="C15" s="21" t="s">
        <v>82</v>
      </c>
      <c r="D15" s="21">
        <v>126</v>
      </c>
      <c r="E15" s="21">
        <v>156</v>
      </c>
      <c r="F15" s="21">
        <v>59</v>
      </c>
      <c r="G15" s="21">
        <v>101</v>
      </c>
      <c r="H15" s="21">
        <v>26</v>
      </c>
      <c r="I15" s="21">
        <v>54</v>
      </c>
      <c r="J15" s="21">
        <v>69</v>
      </c>
      <c r="K15" s="21">
        <v>104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716BA-218D-4001-8795-0EE8FBF61A68}">
  <sheetPr codeName="Sheet6"/>
  <dimension ref="D5:F18"/>
  <sheetViews>
    <sheetView workbookViewId="0">
      <selection activeCell="E1" sqref="E1"/>
    </sheetView>
  </sheetViews>
  <sheetFormatPr defaultRowHeight="14.5" x14ac:dyDescent="0.35"/>
  <cols>
    <col min="5" max="5" width="14.08984375" customWidth="1"/>
  </cols>
  <sheetData>
    <row r="5" spans="4:6" x14ac:dyDescent="0.35">
      <c r="E5" s="15">
        <v>9000</v>
      </c>
      <c r="F5" s="15" t="s">
        <v>101</v>
      </c>
    </row>
    <row r="6" spans="4:6" x14ac:dyDescent="0.35">
      <c r="D6" t="s">
        <v>109</v>
      </c>
      <c r="E6" s="28">
        <v>2000000000</v>
      </c>
      <c r="F6" s="15" t="s">
        <v>102</v>
      </c>
    </row>
    <row r="7" spans="4:6" x14ac:dyDescent="0.35">
      <c r="E7" s="28"/>
      <c r="F7" s="15"/>
    </row>
    <row r="8" spans="4:6" x14ac:dyDescent="0.35">
      <c r="D8" t="s">
        <v>110</v>
      </c>
      <c r="E8" s="28"/>
      <c r="F8" s="15" t="s">
        <v>102</v>
      </c>
    </row>
    <row r="11" spans="4:6" x14ac:dyDescent="0.35">
      <c r="D11" t="s">
        <v>103</v>
      </c>
      <c r="E11" s="6">
        <f>E6/E18</f>
        <v>1654.6666666666667</v>
      </c>
    </row>
    <row r="13" spans="4:6" x14ac:dyDescent="0.35">
      <c r="D13" t="s">
        <v>104</v>
      </c>
      <c r="E13" s="1">
        <v>0.85</v>
      </c>
    </row>
    <row r="14" spans="4:6" x14ac:dyDescent="0.35">
      <c r="D14" t="s">
        <v>105</v>
      </c>
      <c r="E14">
        <f>E13*8760</f>
        <v>7446</v>
      </c>
    </row>
    <row r="16" spans="4:6" x14ac:dyDescent="0.35">
      <c r="D16" t="s">
        <v>106</v>
      </c>
      <c r="E16" s="2">
        <f>E5/E14</f>
        <v>1.2087026591458501</v>
      </c>
    </row>
    <row r="17" spans="4:5" x14ac:dyDescent="0.35">
      <c r="D17" t="s">
        <v>100</v>
      </c>
      <c r="E17" s="2">
        <f>E16*1000</f>
        <v>1208.70265914585</v>
      </c>
    </row>
    <row r="18" spans="4:5" x14ac:dyDescent="0.35">
      <c r="D18" t="s">
        <v>107</v>
      </c>
      <c r="E18" s="29">
        <f>E17*1000</f>
        <v>1208702.65914585</v>
      </c>
    </row>
  </sheetData>
  <conditionalFormatting sqref="E5:F8">
    <cfRule type="expression" dxfId="1" priority="1">
      <formula>AND(E5&lt;&gt;"",E5=FALSE)</formula>
    </cfRule>
    <cfRule type="expression" dxfId="0" priority="2">
      <formula>E5=TRUE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LCOE Calculator</vt:lpstr>
      <vt:lpstr>Battery Analysis</vt:lpstr>
      <vt:lpstr>Resource</vt:lpstr>
      <vt:lpstr>Philippines</vt:lpstr>
      <vt:lpstr>Lazard Solar</vt:lpstr>
      <vt:lpstr>Lazard Geothermal</vt:lpstr>
      <vt:lpstr>Carl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Lewenski</dc:creator>
  <cp:lastModifiedBy>Monika Lewenski</cp:lastModifiedBy>
  <dcterms:created xsi:type="dcterms:W3CDTF">2021-07-19T02:48:11Z</dcterms:created>
  <dcterms:modified xsi:type="dcterms:W3CDTF">2021-08-26T16:42:35Z</dcterms:modified>
</cp:coreProperties>
</file>