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defaultThemeVersion="166925"/>
  <mc:AlternateContent xmlns:mc="http://schemas.openxmlformats.org/markup-compatibility/2006">
    <mc:Choice Requires="x15">
      <x15ac:absPath xmlns:x15ac="http://schemas.microsoft.com/office/spreadsheetml/2010/11/ac" url="https://d.docs.live.net/f82d64a42721f930/Administration/A. Pre-Course^J Recording^J Messages/A2. M^0A/Session 4 - Forecast Cash Flow of Target/Burton Sensors/"/>
    </mc:Choice>
  </mc:AlternateContent>
  <xr:revisionPtr revIDLastSave="46" documentId="11_3F02AB2341B95C387C7B47593D574E5BCA65A1C6" xr6:coauthVersionLast="47" xr6:coauthVersionMax="47" xr10:uidLastSave="{6E152B0D-8180-4F91-B53D-9F39CE05C7A9}"/>
  <bookViews>
    <workbookView xWindow="-110" yWindow="-110" windowWidth="19420" windowHeight="11620" tabRatio="929" activeTab="2" xr2:uid="{00000000-000D-0000-FFFF-FFFF00000000}"/>
  </bookViews>
  <sheets>
    <sheet name="Sheet2" sheetId="31" r:id="rId1"/>
    <sheet name="Sheet1" sheetId="30" r:id="rId2"/>
    <sheet name="Exhibit 1" sheetId="11" r:id="rId3"/>
    <sheet name="Exhibit 2" sheetId="2" r:id="rId4"/>
    <sheet name="Exhibit 3" sheetId="12" r:id="rId5"/>
    <sheet name="Exhibit 4" sheetId="29" r:id="rId6"/>
    <sheet name="Exhibit 5" sheetId="23" r:id="rId7"/>
    <sheet name="Exhibit 6" sheetId="28" r:id="rId8"/>
    <sheet name="Exhibit 7" sheetId="24" r:id="rId9"/>
  </sheets>
  <definedNames>
    <definedName name="CIQWBGuid" hidden="1">"afe9a56e-3065-4ad9-a438-fc9f48600bfd"</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41528.7977083333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calcMode="autoNoTable"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5" i="2" l="1"/>
  <c r="D25" i="2" s="1"/>
  <c r="E25" i="2" s="1"/>
  <c r="F25" i="2" s="1"/>
  <c r="G25" i="2" s="1"/>
  <c r="H25" i="2" s="1"/>
  <c r="I25" i="2" s="1"/>
  <c r="B10" i="2"/>
  <c r="B9" i="2"/>
  <c r="B6" i="2"/>
  <c r="B7" i="2" s="1"/>
  <c r="D5" i="2"/>
  <c r="D6" i="2" s="1"/>
  <c r="C5" i="2"/>
  <c r="C10" i="2" s="1"/>
  <c r="C4" i="2"/>
  <c r="D4" i="2" s="1"/>
  <c r="E4" i="2" s="1"/>
  <c r="F4" i="2" s="1"/>
  <c r="G4" i="2" s="1"/>
  <c r="H4" i="2" s="1"/>
  <c r="I4" i="2" s="1"/>
  <c r="L21" i="29"/>
  <c r="K21" i="29"/>
  <c r="J21" i="29"/>
  <c r="H21" i="29"/>
  <c r="G21" i="29"/>
  <c r="F21" i="29"/>
  <c r="D21" i="29"/>
  <c r="C21" i="29"/>
  <c r="B21" i="29"/>
  <c r="P20" i="29"/>
  <c r="O20" i="29"/>
  <c r="N20" i="29"/>
  <c r="L20" i="29"/>
  <c r="K20" i="29"/>
  <c r="J20" i="29"/>
  <c r="H20" i="29"/>
  <c r="G20" i="29"/>
  <c r="F20" i="29"/>
  <c r="D20" i="29"/>
  <c r="C20" i="29"/>
  <c r="B20" i="29"/>
  <c r="P19" i="29"/>
  <c r="O19" i="29"/>
  <c r="N19" i="29"/>
  <c r="L19" i="29"/>
  <c r="K19" i="29"/>
  <c r="J19" i="29"/>
  <c r="H19" i="29"/>
  <c r="G19" i="29"/>
  <c r="F19" i="29"/>
  <c r="D19" i="29"/>
  <c r="C19" i="29"/>
  <c r="B19" i="29"/>
  <c r="P15" i="29"/>
  <c r="O15" i="29"/>
  <c r="N15" i="29"/>
  <c r="L15" i="29"/>
  <c r="K15" i="29"/>
  <c r="J15" i="29"/>
  <c r="H15" i="29"/>
  <c r="G15" i="29"/>
  <c r="F15" i="29"/>
  <c r="D15" i="29"/>
  <c r="C15" i="29"/>
  <c r="B15" i="29"/>
  <c r="P14" i="29"/>
  <c r="O14" i="29"/>
  <c r="N14" i="29"/>
  <c r="L14" i="29"/>
  <c r="K14" i="29"/>
  <c r="J14" i="29"/>
  <c r="H14" i="29"/>
  <c r="G14" i="29"/>
  <c r="F14" i="29"/>
  <c r="D14" i="29"/>
  <c r="C14" i="29"/>
  <c r="B14" i="29"/>
  <c r="P5" i="29"/>
  <c r="L5" i="29"/>
  <c r="H5" i="29"/>
  <c r="D5" i="29"/>
  <c r="D4" i="24"/>
  <c r="D4" i="28"/>
  <c r="D19" i="28"/>
  <c r="C19" i="28"/>
  <c r="B19" i="28"/>
  <c r="D4" i="23"/>
  <c r="B67" i="11"/>
  <c r="B12" i="2" s="1"/>
  <c r="B60" i="11"/>
  <c r="B22" i="12" s="1"/>
  <c r="I18" i="11"/>
  <c r="I60" i="11"/>
  <c r="I22" i="12"/>
  <c r="I25" i="12" s="1"/>
  <c r="H18" i="11"/>
  <c r="H60" i="11"/>
  <c r="H22" i="12" s="1"/>
  <c r="I24" i="12"/>
  <c r="H24" i="12"/>
  <c r="B8" i="12"/>
  <c r="D60" i="11"/>
  <c r="D22" i="12" s="1"/>
  <c r="C16" i="11"/>
  <c r="D16" i="11" s="1"/>
  <c r="C60" i="11"/>
  <c r="C22" i="12" s="1"/>
  <c r="E24" i="12"/>
  <c r="F24" i="12"/>
  <c r="G24" i="12"/>
  <c r="C24" i="12"/>
  <c r="D24" i="12"/>
  <c r="B18" i="11"/>
  <c r="C18" i="11"/>
  <c r="C57" i="11"/>
  <c r="D57" i="11" s="1"/>
  <c r="E57" i="11" s="1"/>
  <c r="F57" i="11" s="1"/>
  <c r="G57" i="11" s="1"/>
  <c r="H57" i="11" s="1"/>
  <c r="I57" i="11" s="1"/>
  <c r="C70" i="11"/>
  <c r="D70" i="11" s="1"/>
  <c r="E70" i="11" s="1"/>
  <c r="F70" i="11" s="1"/>
  <c r="G70" i="11" s="1"/>
  <c r="H70" i="11" s="1"/>
  <c r="I70" i="11" s="1"/>
  <c r="C47" i="11"/>
  <c r="D47" i="11" s="1"/>
  <c r="E47" i="11" s="1"/>
  <c r="F47" i="11" s="1"/>
  <c r="G47" i="11" s="1"/>
  <c r="H47" i="11" s="1"/>
  <c r="I47" i="11" s="1"/>
  <c r="C33" i="11"/>
  <c r="D33" i="11" s="1"/>
  <c r="E33" i="11" s="1"/>
  <c r="F33" i="11" s="1"/>
  <c r="G33" i="11" s="1"/>
  <c r="H33" i="11" s="1"/>
  <c r="I33" i="11" s="1"/>
  <c r="C4" i="12"/>
  <c r="D4" i="12" s="1"/>
  <c r="E4" i="12" s="1"/>
  <c r="F4" i="12" s="1"/>
  <c r="G4" i="12" s="1"/>
  <c r="H4" i="12" s="1"/>
  <c r="I4" i="12" s="1"/>
  <c r="C4" i="11"/>
  <c r="D4" i="11" s="1"/>
  <c r="E4" i="11" s="1"/>
  <c r="F4" i="11" s="1"/>
  <c r="G4" i="11" s="1"/>
  <c r="H4" i="11" s="1"/>
  <c r="I4" i="11" s="1"/>
  <c r="B35" i="11"/>
  <c r="B8" i="11" s="1"/>
  <c r="B36" i="11"/>
  <c r="D18" i="11"/>
  <c r="E60" i="11"/>
  <c r="E22" i="12" s="1"/>
  <c r="E44" i="11"/>
  <c r="F44" i="11" s="1"/>
  <c r="G44" i="11" s="1"/>
  <c r="H44" i="11" s="1"/>
  <c r="I44" i="11" s="1"/>
  <c r="F45" i="11"/>
  <c r="G45" i="11" s="1"/>
  <c r="H45" i="11" s="1"/>
  <c r="I45" i="11" s="1"/>
  <c r="F60" i="11"/>
  <c r="F22" i="12" s="1"/>
  <c r="F25" i="12" s="1"/>
  <c r="E18" i="11"/>
  <c r="F18" i="11"/>
  <c r="G60" i="11"/>
  <c r="G22" i="12" s="1"/>
  <c r="G18" i="11"/>
  <c r="B24" i="12"/>
  <c r="D7" i="2" l="1"/>
  <c r="D9" i="2"/>
  <c r="D10" i="2"/>
  <c r="E5" i="2"/>
  <c r="C6" i="2"/>
  <c r="C7" i="2"/>
  <c r="C9" i="2"/>
  <c r="B6" i="11"/>
  <c r="D25" i="12"/>
  <c r="H25" i="12"/>
  <c r="E25" i="12"/>
  <c r="C25" i="12"/>
  <c r="B25" i="12"/>
  <c r="B7" i="11"/>
  <c r="C36" i="11"/>
  <c r="D36" i="11"/>
  <c r="B49" i="11"/>
  <c r="B11" i="2" s="1"/>
  <c r="B13" i="2" s="1"/>
  <c r="B61" i="11"/>
  <c r="B62" i="11" s="1"/>
  <c r="B21" i="11" s="1"/>
  <c r="B29" i="11" s="1"/>
  <c r="G25" i="12"/>
  <c r="B14" i="11"/>
  <c r="B15" i="11"/>
  <c r="B50" i="11"/>
  <c r="B17" i="12" s="1"/>
  <c r="B18" i="12" s="1"/>
  <c r="C35" i="11"/>
  <c r="E16" i="11"/>
  <c r="B15" i="2" l="1"/>
  <c r="B16" i="2" s="1"/>
  <c r="B19" i="2" s="1"/>
  <c r="B35" i="2" s="1"/>
  <c r="F5" i="2"/>
  <c r="E10" i="2"/>
  <c r="E9" i="2"/>
  <c r="E7" i="2"/>
  <c r="E6" i="2"/>
  <c r="B27" i="11"/>
  <c r="B51" i="11"/>
  <c r="B7" i="12"/>
  <c r="C58" i="11"/>
  <c r="C61" i="11" s="1"/>
  <c r="D35" i="11"/>
  <c r="D7" i="11" s="1"/>
  <c r="C49" i="11"/>
  <c r="C11" i="2" s="1"/>
  <c r="C7" i="11"/>
  <c r="C9" i="12" s="1"/>
  <c r="C6" i="11"/>
  <c r="C15" i="11"/>
  <c r="C12" i="12" s="1"/>
  <c r="C14" i="11"/>
  <c r="C11" i="12" s="1"/>
  <c r="C8" i="11"/>
  <c r="C10" i="12" s="1"/>
  <c r="C50" i="11"/>
  <c r="C17" i="12" s="1"/>
  <c r="C18" i="12" s="1"/>
  <c r="E36" i="11"/>
  <c r="F16" i="11"/>
  <c r="D15" i="11"/>
  <c r="D12" i="12" s="1"/>
  <c r="G5" i="2" l="1"/>
  <c r="F10" i="2"/>
  <c r="F9" i="2"/>
  <c r="F6" i="2"/>
  <c r="F7" i="2" s="1"/>
  <c r="C67" i="11"/>
  <c r="C12" i="2" s="1"/>
  <c r="C13" i="2" s="1"/>
  <c r="D8" i="11"/>
  <c r="D10" i="12" s="1"/>
  <c r="D50" i="11"/>
  <c r="D17" i="12" s="1"/>
  <c r="D18" i="12" s="1"/>
  <c r="D49" i="11"/>
  <c r="D11" i="2" s="1"/>
  <c r="D6" i="11"/>
  <c r="D27" i="11" s="1"/>
  <c r="D14" i="11"/>
  <c r="D11" i="12" s="1"/>
  <c r="D9" i="12"/>
  <c r="E35" i="11"/>
  <c r="E14" i="11" s="1"/>
  <c r="C7" i="12"/>
  <c r="C73" i="11"/>
  <c r="C27" i="11"/>
  <c r="C8" i="12"/>
  <c r="B11" i="11"/>
  <c r="C48" i="11"/>
  <c r="C51" i="11" s="1"/>
  <c r="G16" i="11"/>
  <c r="F35" i="11"/>
  <c r="E8" i="11"/>
  <c r="E10" i="12" s="1"/>
  <c r="E49" i="11"/>
  <c r="E11" i="2" s="1"/>
  <c r="D58" i="11"/>
  <c r="C62" i="11"/>
  <c r="C21" i="11" s="1"/>
  <c r="C15" i="2" l="1"/>
  <c r="C16" i="2" s="1"/>
  <c r="C19" i="2" s="1"/>
  <c r="C35" i="2" s="1"/>
  <c r="G10" i="2"/>
  <c r="G9" i="2"/>
  <c r="G7" i="2"/>
  <c r="G6" i="2"/>
  <c r="H5" i="2"/>
  <c r="E7" i="11"/>
  <c r="E9" i="12" s="1"/>
  <c r="D7" i="12"/>
  <c r="E15" i="11"/>
  <c r="E12" i="12" s="1"/>
  <c r="F36" i="11"/>
  <c r="D8" i="12"/>
  <c r="E6" i="11"/>
  <c r="E50" i="11"/>
  <c r="E17" i="12" s="1"/>
  <c r="E18" i="12" s="1"/>
  <c r="D73" i="11"/>
  <c r="D48" i="11"/>
  <c r="D51" i="11" s="1"/>
  <c r="C11" i="11"/>
  <c r="B72" i="11"/>
  <c r="B74" i="11" s="1"/>
  <c r="E7" i="12"/>
  <c r="E11" i="12"/>
  <c r="F14" i="11"/>
  <c r="F8" i="11"/>
  <c r="F10" i="12" s="1"/>
  <c r="F15" i="11"/>
  <c r="F12" i="12" s="1"/>
  <c r="F50" i="11"/>
  <c r="F17" i="12" s="1"/>
  <c r="F18" i="12" s="1"/>
  <c r="F6" i="11"/>
  <c r="F49" i="11"/>
  <c r="F11" i="2" s="1"/>
  <c r="F7" i="11"/>
  <c r="G35" i="11"/>
  <c r="G36" i="11"/>
  <c r="D67" i="11"/>
  <c r="D12" i="2" s="1"/>
  <c r="D13" i="2" s="1"/>
  <c r="D61" i="11"/>
  <c r="H16" i="11"/>
  <c r="D15" i="2" l="1"/>
  <c r="D16" i="2" s="1"/>
  <c r="D19" i="2" s="1"/>
  <c r="D35" i="2" s="1"/>
  <c r="F9" i="12"/>
  <c r="C72" i="11"/>
  <c r="H10" i="2"/>
  <c r="H9" i="2"/>
  <c r="I5" i="2"/>
  <c r="H6" i="2"/>
  <c r="H7" i="2" s="1"/>
  <c r="E27" i="11"/>
  <c r="E8" i="12"/>
  <c r="E48" i="11"/>
  <c r="E51" i="11" s="1"/>
  <c r="F48" i="11" s="1"/>
  <c r="F51" i="11" s="1"/>
  <c r="D11" i="11"/>
  <c r="B6" i="12"/>
  <c r="B17" i="11"/>
  <c r="B19" i="11" s="1"/>
  <c r="B22" i="11" s="1"/>
  <c r="B13" i="12"/>
  <c r="C71" i="11"/>
  <c r="C74" i="11" s="1"/>
  <c r="D71" i="11" s="1"/>
  <c r="E73" i="11"/>
  <c r="D72" i="11"/>
  <c r="C17" i="11"/>
  <c r="E11" i="11"/>
  <c r="E58" i="11"/>
  <c r="D62" i="11"/>
  <c r="D21" i="11" s="1"/>
  <c r="F7" i="12"/>
  <c r="H36" i="11"/>
  <c r="H35" i="11"/>
  <c r="I16" i="11"/>
  <c r="F8" i="12"/>
  <c r="F27" i="11"/>
  <c r="F11" i="12"/>
  <c r="G49" i="11"/>
  <c r="G11" i="2" s="1"/>
  <c r="G8" i="11"/>
  <c r="G10" i="12" s="1"/>
  <c r="G7" i="11"/>
  <c r="G9" i="12" s="1"/>
  <c r="G50" i="11"/>
  <c r="G17" i="12" s="1"/>
  <c r="G18" i="12" s="1"/>
  <c r="G6" i="11"/>
  <c r="G14" i="11"/>
  <c r="G15" i="11"/>
  <c r="G12" i="12" s="1"/>
  <c r="I10" i="2" l="1"/>
  <c r="I9" i="2"/>
  <c r="I7" i="2"/>
  <c r="I6" i="2"/>
  <c r="B14" i="12"/>
  <c r="B27" i="12" s="1"/>
  <c r="B30" i="12" s="1"/>
  <c r="B31" i="12" s="1"/>
  <c r="B5" i="11" s="1"/>
  <c r="B9" i="11" s="1"/>
  <c r="B12" i="11" s="1"/>
  <c r="C6" i="12"/>
  <c r="C24" i="11"/>
  <c r="D74" i="11"/>
  <c r="E71" i="11" s="1"/>
  <c r="C29" i="12"/>
  <c r="B25" i="11"/>
  <c r="B28" i="11"/>
  <c r="G11" i="12"/>
  <c r="F11" i="11"/>
  <c r="G48" i="11"/>
  <c r="G51" i="11" s="1"/>
  <c r="I36" i="11"/>
  <c r="I35" i="11"/>
  <c r="D17" i="11"/>
  <c r="D6" i="12"/>
  <c r="G8" i="12"/>
  <c r="G27" i="11"/>
  <c r="G7" i="12"/>
  <c r="H49" i="11"/>
  <c r="H11" i="2" s="1"/>
  <c r="H50" i="11"/>
  <c r="H17" i="12" s="1"/>
  <c r="H18" i="12" s="1"/>
  <c r="H7" i="11"/>
  <c r="H9" i="12" s="1"/>
  <c r="H6" i="11"/>
  <c r="H8" i="11"/>
  <c r="H10" i="12" s="1"/>
  <c r="H14" i="11"/>
  <c r="H15" i="11"/>
  <c r="H12" i="12" s="1"/>
  <c r="E61" i="11"/>
  <c r="E67" i="11"/>
  <c r="E12" i="2" s="1"/>
  <c r="E13" i="2" s="1"/>
  <c r="C13" i="12"/>
  <c r="C14" i="12" s="1"/>
  <c r="C27" i="12" s="1"/>
  <c r="C30" i="12" s="1"/>
  <c r="C19" i="11"/>
  <c r="C22" i="11" s="1"/>
  <c r="E15" i="2" l="1"/>
  <c r="E72" i="11" s="1"/>
  <c r="E74" i="11" s="1"/>
  <c r="C29" i="11"/>
  <c r="D24" i="11"/>
  <c r="D29" i="11" s="1"/>
  <c r="C31" i="12"/>
  <c r="C5" i="11" s="1"/>
  <c r="C9" i="11" s="1"/>
  <c r="C12" i="11" s="1"/>
  <c r="F73" i="11"/>
  <c r="E62" i="11"/>
  <c r="E21" i="11" s="1"/>
  <c r="F58" i="11"/>
  <c r="H8" i="12"/>
  <c r="H27" i="11"/>
  <c r="G11" i="11"/>
  <c r="H48" i="11"/>
  <c r="H51" i="11" s="1"/>
  <c r="D29" i="12"/>
  <c r="D13" i="12"/>
  <c r="D14" i="12" s="1"/>
  <c r="D27" i="12" s="1"/>
  <c r="D30" i="12" s="1"/>
  <c r="D19" i="11"/>
  <c r="D22" i="11" s="1"/>
  <c r="C28" i="11"/>
  <c r="C25" i="11"/>
  <c r="H11" i="12"/>
  <c r="H7" i="12"/>
  <c r="I50" i="11"/>
  <c r="I17" i="12" s="1"/>
  <c r="I18" i="12" s="1"/>
  <c r="I7" i="11"/>
  <c r="I9" i="12" s="1"/>
  <c r="I8" i="11"/>
  <c r="I10" i="12" s="1"/>
  <c r="I15" i="11"/>
  <c r="I12" i="12" s="1"/>
  <c r="I14" i="11"/>
  <c r="I49" i="11"/>
  <c r="I11" i="2" s="1"/>
  <c r="I6" i="11"/>
  <c r="E16" i="2" l="1"/>
  <c r="E19" i="2" s="1"/>
  <c r="I7" i="12"/>
  <c r="I11" i="12"/>
  <c r="D28" i="11"/>
  <c r="D25" i="11"/>
  <c r="E17" i="11"/>
  <c r="F71" i="11"/>
  <c r="I48" i="11"/>
  <c r="I51" i="11" s="1"/>
  <c r="I11" i="11" s="1"/>
  <c r="H11" i="11"/>
  <c r="F61" i="11"/>
  <c r="F67" i="11"/>
  <c r="F12" i="2" s="1"/>
  <c r="F13" i="2" s="1"/>
  <c r="I8" i="12"/>
  <c r="I27" i="11"/>
  <c r="D31" i="12"/>
  <c r="F15" i="2" l="1"/>
  <c r="F16" i="2" s="1"/>
  <c r="F19" i="2" s="1"/>
  <c r="E29" i="12"/>
  <c r="D5" i="11"/>
  <c r="D9" i="11" s="1"/>
  <c r="D12" i="11" s="1"/>
  <c r="F62" i="11"/>
  <c r="F21" i="11" s="1"/>
  <c r="G58" i="11"/>
  <c r="F72" i="11"/>
  <c r="F74" i="11" s="1"/>
  <c r="G73" i="11"/>
  <c r="E13" i="12"/>
  <c r="E19" i="11"/>
  <c r="E22" i="11" s="1"/>
  <c r="E6" i="12"/>
  <c r="E14" i="12" s="1"/>
  <c r="E27" i="12" s="1"/>
  <c r="E30" i="12" s="1"/>
  <c r="E24" i="11"/>
  <c r="G71" i="11" l="1"/>
  <c r="F17" i="11"/>
  <c r="G67" i="11"/>
  <c r="G12" i="2" s="1"/>
  <c r="G13" i="2" s="1"/>
  <c r="G61" i="11"/>
  <c r="E25" i="11"/>
  <c r="E28" i="11"/>
  <c r="F6" i="12"/>
  <c r="F24" i="11"/>
  <c r="E29" i="11"/>
  <c r="E31" i="12"/>
  <c r="G15" i="2" l="1"/>
  <c r="G16" i="2" s="1"/>
  <c r="G19" i="2" s="1"/>
  <c r="E5" i="11"/>
  <c r="E9" i="11" s="1"/>
  <c r="E12" i="11" s="1"/>
  <c r="F29" i="12"/>
  <c r="G62" i="11"/>
  <c r="G21" i="11" s="1"/>
  <c r="H58" i="11"/>
  <c r="G72" i="11"/>
  <c r="G74" i="11" s="1"/>
  <c r="H73" i="11"/>
  <c r="F13" i="12"/>
  <c r="F14" i="12" s="1"/>
  <c r="F27" i="12" s="1"/>
  <c r="F30" i="12" s="1"/>
  <c r="F19" i="11"/>
  <c r="F22" i="11" s="1"/>
  <c r="F29" i="11"/>
  <c r="H71" i="11" l="1"/>
  <c r="G17" i="11"/>
  <c r="F25" i="11"/>
  <c r="F28" i="11"/>
  <c r="G6" i="12"/>
  <c r="F31" i="12"/>
  <c r="G24" i="11"/>
  <c r="G29" i="11" s="1"/>
  <c r="H67" i="11"/>
  <c r="H12" i="2" s="1"/>
  <c r="H13" i="2" s="1"/>
  <c r="H61" i="11"/>
  <c r="H15" i="2" l="1"/>
  <c r="H16" i="2" s="1"/>
  <c r="H19" i="2" s="1"/>
  <c r="I58" i="11"/>
  <c r="H62" i="11"/>
  <c r="H21" i="11" s="1"/>
  <c r="G29" i="12"/>
  <c r="F5" i="11"/>
  <c r="F9" i="11" s="1"/>
  <c r="F12" i="11" s="1"/>
  <c r="H72" i="11"/>
  <c r="H74" i="11" s="1"/>
  <c r="I73" i="11"/>
  <c r="G13" i="12"/>
  <c r="G14" i="12" s="1"/>
  <c r="G27" i="12" s="1"/>
  <c r="G30" i="12" s="1"/>
  <c r="G19" i="11"/>
  <c r="G22" i="11" s="1"/>
  <c r="I71" i="11" l="1"/>
  <c r="H17" i="11"/>
  <c r="G28" i="11"/>
  <c r="G25" i="11"/>
  <c r="G31" i="12"/>
  <c r="I67" i="11"/>
  <c r="I12" i="2" s="1"/>
  <c r="I13" i="2" s="1"/>
  <c r="I61" i="11"/>
  <c r="I62" i="11" s="1"/>
  <c r="I21" i="11" s="1"/>
  <c r="I15" i="2" l="1"/>
  <c r="I16" i="2" s="1"/>
  <c r="I19" i="2" s="1"/>
  <c r="G5" i="11"/>
  <c r="G9" i="11" s="1"/>
  <c r="G12" i="11" s="1"/>
  <c r="H29" i="12"/>
  <c r="H13" i="12"/>
  <c r="H19" i="11"/>
  <c r="H22" i="11" s="1"/>
  <c r="I72" i="11"/>
  <c r="I74" i="11" s="1"/>
  <c r="I17" i="11" s="1"/>
  <c r="H6" i="12"/>
  <c r="H14" i="12" s="1"/>
  <c r="H27" i="12" s="1"/>
  <c r="H30" i="12" s="1"/>
  <c r="H24" i="11"/>
  <c r="I13" i="12" l="1"/>
  <c r="I19" i="11"/>
  <c r="I22" i="11" s="1"/>
  <c r="H31" i="12"/>
  <c r="H25" i="11"/>
  <c r="H28" i="11"/>
  <c r="H29" i="11"/>
  <c r="I6" i="12" l="1"/>
  <c r="I14" i="12" s="1"/>
  <c r="I27" i="12" s="1"/>
  <c r="I30" i="12" s="1"/>
  <c r="I24" i="11"/>
  <c r="I29" i="11" s="1"/>
  <c r="H5" i="11"/>
  <c r="H9" i="11" s="1"/>
  <c r="H12" i="11" s="1"/>
  <c r="I29" i="12"/>
  <c r="I25" i="11" l="1"/>
  <c r="I28" i="11"/>
  <c r="I31" i="12"/>
  <c r="I5" i="11" s="1"/>
  <c r="I9" i="11" s="1"/>
  <c r="I12"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Cheung</author>
  </authors>
  <commentList>
    <comment ref="P9" authorId="0" shapeId="0" xr:uid="{00000000-0006-0000-0400-000001000000}">
      <text>
        <r>
          <rPr>
            <b/>
            <sz val="9"/>
            <color indexed="81"/>
            <rFont val="Tahoma"/>
            <family val="2"/>
          </rPr>
          <t>Daniel Cheung:</t>
        </r>
        <r>
          <rPr>
            <sz val="9"/>
            <color indexed="81"/>
            <rFont val="Tahoma"/>
            <family val="2"/>
          </rPr>
          <t xml:space="preserve">
Originially 1.31, make PE more realistic</t>
        </r>
      </text>
    </comment>
  </commentList>
</comments>
</file>

<file path=xl/sharedStrings.xml><?xml version="1.0" encoding="utf-8"?>
<sst xmlns="http://schemas.openxmlformats.org/spreadsheetml/2006/main" count="215" uniqueCount="163">
  <si>
    <t>Revenue</t>
  </si>
  <si>
    <t>Total Liabilities</t>
  </si>
  <si>
    <t>Inventory</t>
  </si>
  <si>
    <t>Net sales</t>
  </si>
  <si>
    <t>COGS</t>
  </si>
  <si>
    <t>Gross profit</t>
  </si>
  <si>
    <t>SG&amp;A expense</t>
  </si>
  <si>
    <t>Depreciation and amortization</t>
  </si>
  <si>
    <t>R&amp;D expense</t>
  </si>
  <si>
    <t>Pretax income (loss)</t>
  </si>
  <si>
    <t>Income taxes</t>
  </si>
  <si>
    <t>Net income</t>
  </si>
  <si>
    <t>Cash dividend per share</t>
  </si>
  <si>
    <t>Accounts receivable</t>
  </si>
  <si>
    <t>Current assets</t>
  </si>
  <si>
    <t>Net PP&amp;E</t>
  </si>
  <si>
    <t>Total assets</t>
  </si>
  <si>
    <t>Accounts payable</t>
  </si>
  <si>
    <t>Long-term debt, current portion</t>
  </si>
  <si>
    <t>Current Liabilities</t>
  </si>
  <si>
    <t>Long-term debt</t>
  </si>
  <si>
    <t>Deferred taxes</t>
  </si>
  <si>
    <t>Total liabilities</t>
  </si>
  <si>
    <t>Total liabilities and equity</t>
  </si>
  <si>
    <t>Operating Activities</t>
  </si>
  <si>
    <t>Add: increase (decrease) in accounts payable</t>
  </si>
  <si>
    <t>Investing Activities</t>
  </si>
  <si>
    <t>Less: capex</t>
  </si>
  <si>
    <t>Investing activities -  net cash flow</t>
  </si>
  <si>
    <t>Financing Activities</t>
  </si>
  <si>
    <t>Add: long-term debt net issuance</t>
  </si>
  <si>
    <t>Less: cash dividend</t>
  </si>
  <si>
    <t>Financing activities -  net cash flow</t>
  </si>
  <si>
    <t>Total net cash flow</t>
  </si>
  <si>
    <t>Beginning cash</t>
  </si>
  <si>
    <t>Change in cash</t>
  </si>
  <si>
    <t>Ending cash</t>
  </si>
  <si>
    <t>Other current assets</t>
  </si>
  <si>
    <t>Add: net issuance of common stock</t>
  </si>
  <si>
    <t>Items as a % of Revenue</t>
  </si>
  <si>
    <t>Revenue growth</t>
  </si>
  <si>
    <t>Tax rate</t>
  </si>
  <si>
    <t>Assumptions</t>
  </si>
  <si>
    <t>Income Statement Metrics</t>
  </si>
  <si>
    <t>Cost of Goods Sold</t>
  </si>
  <si>
    <t>Other Current Assets (% Sales)</t>
  </si>
  <si>
    <t>Accrued Expenses (% Sales)</t>
  </si>
  <si>
    <t>PP&amp;E (Beginning)</t>
  </si>
  <si>
    <t>Less: Depreciation</t>
  </si>
  <si>
    <t>PP&amp;E (Ending)</t>
  </si>
  <si>
    <t>CapEx (% Sales)</t>
  </si>
  <si>
    <t>Cash and equivalents</t>
  </si>
  <si>
    <t>Other Activity Ratios</t>
  </si>
  <si>
    <t>(35% of projected EBT)</t>
  </si>
  <si>
    <t>Add: increase (decrease) in deferred taxes</t>
  </si>
  <si>
    <t>Payout ratio</t>
  </si>
  <si>
    <t>Less: increase (decrease) in accounts receivable</t>
  </si>
  <si>
    <t>Less: increase (decrease) in inventory</t>
  </si>
  <si>
    <t>Less: increase (decrease) in other current assets</t>
  </si>
  <si>
    <t>Working Capital Assumptions (U.S. $ thousands)</t>
  </si>
  <si>
    <t>Deferred Tax Schedule (U.S. $ thousands)</t>
  </si>
  <si>
    <t>Beg. accrued taxes</t>
  </si>
  <si>
    <t>Accrual of taxes</t>
  </si>
  <si>
    <t>Tax payments</t>
  </si>
  <si>
    <t>End. accrued taxes</t>
  </si>
  <si>
    <t>Tax payments as % of previous year's EBT</t>
  </si>
  <si>
    <t>Shares outstanding</t>
  </si>
  <si>
    <t>Less: retirements</t>
  </si>
  <si>
    <t>Add: issuances</t>
  </si>
  <si>
    <t>Interest payment</t>
  </si>
  <si>
    <t>Ending balance (with current portion)</t>
  </si>
  <si>
    <t>Ending balance (without current portion)</t>
  </si>
  <si>
    <t>Beginning balance (with current portion)</t>
  </si>
  <si>
    <t>Interest rate as % of beginning balance</t>
  </si>
  <si>
    <t>Working Capital Ratios</t>
  </si>
  <si>
    <t>Accounts receivable (% Sales)</t>
  </si>
  <si>
    <t>Inventory (% Sales)</t>
  </si>
  <si>
    <t>Accounts payable (% Sales)</t>
  </si>
  <si>
    <t>Current portion of long-term debt</t>
  </si>
  <si>
    <t>P/E</t>
  </si>
  <si>
    <t>EPS</t>
  </si>
  <si>
    <t>Equity beta*</t>
  </si>
  <si>
    <t>Market capitalization</t>
  </si>
  <si>
    <t>Profit margin</t>
  </si>
  <si>
    <t>Operating margin</t>
  </si>
  <si>
    <t>Total debt</t>
  </si>
  <si>
    <t>Assets</t>
  </si>
  <si>
    <t>Operating profit</t>
  </si>
  <si>
    <t>Cyberoptics (CYBE)</t>
  </si>
  <si>
    <t>Opsens (OPS)</t>
  </si>
  <si>
    <t>Ametek (AME)</t>
  </si>
  <si>
    <t>TE Connectivity (TEL)</t>
  </si>
  <si>
    <t>Bank loans</t>
  </si>
  <si>
    <t>Long-Term Debt Schedule (U.S. $ thousands)</t>
  </si>
  <si>
    <t>Shareholders' equity</t>
  </si>
  <si>
    <t>Prepaid expenses</t>
  </si>
  <si>
    <t>Add: changes in bank borrowings</t>
  </si>
  <si>
    <t>Less: increase (decrease) in prepaid expenses</t>
  </si>
  <si>
    <t>Depreciation (% Sales)</t>
  </si>
  <si>
    <t>Number of common shares (thousands)</t>
  </si>
  <si>
    <t>(4% of projected sales)</t>
  </si>
  <si>
    <t>(12% of projected sales)</t>
  </si>
  <si>
    <t>(10% of projected sales)</t>
  </si>
  <si>
    <t>Total interest-bearing debt / book equity</t>
  </si>
  <si>
    <t>Bank loan / (receivables + inventory)</t>
  </si>
  <si>
    <t>Liabilities / book equity</t>
  </si>
  <si>
    <t>Add: CapEx &amp; Purchase of PP&amp;E</t>
  </si>
  <si>
    <t>(43% of projected sales)</t>
  </si>
  <si>
    <t>(6.2% of projected sales)</t>
  </si>
  <si>
    <t>Add: debt net issuance</t>
  </si>
  <si>
    <t>Interest expense</t>
  </si>
  <si>
    <t>D/Marketcap</t>
  </si>
  <si>
    <t>(35% of projected sales)</t>
  </si>
  <si>
    <t>(26% of projected sales)</t>
  </si>
  <si>
    <t>(24.5% of projected sales)</t>
  </si>
  <si>
    <t>Tables below are not shown in case</t>
  </si>
  <si>
    <t>Accrued expenses</t>
  </si>
  <si>
    <t>Add: increase (decrease) in accrued expenses</t>
  </si>
  <si>
    <t>*Based on previous five years</t>
  </si>
  <si>
    <t>Operating activities -  net cash flow</t>
  </si>
  <si>
    <t>Earnings per share</t>
  </si>
  <si>
    <t xml:space="preserve">Exhibit 1 </t>
  </si>
  <si>
    <r>
      <t>Net interest expense (income)</t>
    </r>
    <r>
      <rPr>
        <vertAlign val="superscript"/>
        <sz val="10"/>
        <color theme="1"/>
        <rFont val="Book Antiqua"/>
        <family val="1"/>
      </rPr>
      <t>*</t>
    </r>
  </si>
  <si>
    <r>
      <rPr>
        <vertAlign val="superscript"/>
        <sz val="10"/>
        <rFont val="Book Antiqua"/>
        <family val="1"/>
      </rPr>
      <t>*</t>
    </r>
    <r>
      <rPr>
        <sz val="10"/>
        <rFont val="Book Antiqua"/>
        <family val="1"/>
      </rPr>
      <t xml:space="preserve"> Burton pays an average of 5.5% interest on all interest bearing debt.</t>
    </r>
  </si>
  <si>
    <t xml:space="preserve">Exhibit 2 </t>
  </si>
  <si>
    <t xml:space="preserve">Exhibit 3 </t>
  </si>
  <si>
    <t xml:space="preserve">Exhibit 4 </t>
  </si>
  <si>
    <t>Comparative Data on Four Publically Traded Sensor Manufacturers, 2014-2016 (U.S. $ millions)</t>
  </si>
  <si>
    <t xml:space="preserve">Exhibit 5 </t>
  </si>
  <si>
    <t xml:space="preserve">Exhibit 6 </t>
  </si>
  <si>
    <t xml:space="preserve">Exhibit 7 </t>
  </si>
  <si>
    <t>Burton Sensors Consolidated Balance Sheets (Actual/Projected), 2014-2021 (Fiscal years ending December 31; U.S. $000s)</t>
  </si>
  <si>
    <t>Burton Sensors Consolidated Income Statements (Actual/Projected), 2014-2021 (Fiscal years ending December 31; U.S. $000s)</t>
  </si>
  <si>
    <t>Burton Sensors Consolidated Statement of Cash Flows (Actual/Projected), 2014-2021 (Fiscal years ending December 31; U.S. $000s)</t>
  </si>
  <si>
    <t>Electro-Engineering Consolidated Balance Sheets (Actual), 2014-2016 (Fiscal years ending December 31; U.S. $000s)</t>
  </si>
  <si>
    <t>Electro-Engineering Consolidated Income Statements (Actual), 2014-2016 (Fiscal years ending December 31; U.S. $000s)</t>
  </si>
  <si>
    <t>Electro-Engineering Consolidated Statement of Cash Flows (Actual), 2014-2016 (Fiscal years ending December 31; U.S. $000s)</t>
  </si>
  <si>
    <t>Harvard Business School Brief Case 9-918-539</t>
  </si>
  <si>
    <t>This courseware was prepared solely as the basis for class discussion. Cases are not intended to serve as endorsements, sources of primary data, or illustrations of effective or ineffective management. Copyright © 2018 President and Fellows of Harvard College. All rights reserved. No part of this product may be reproduced, stored in a retrieval system, used in a spreadsheet, or transmitted in any form or by any means—electronic, mechanical, photocopying, recording or otherwise—without the permission of Harvard Business School.</t>
  </si>
  <si>
    <t>Created</t>
  </si>
  <si>
    <r>
      <t xml:space="preserve">Courseware </t>
    </r>
    <r>
      <rPr>
        <b/>
        <sz val="10"/>
        <rFont val="Helvetica"/>
        <family val="2"/>
      </rPr>
      <t>9-918-541</t>
    </r>
  </si>
  <si>
    <t>Burton Sensors, Inc., Student Spreadsheet Supplement</t>
  </si>
  <si>
    <t>Re-Structured</t>
  </si>
  <si>
    <t>1. Put Statements Together</t>
  </si>
  <si>
    <t>3. Format</t>
  </si>
  <si>
    <t>Three Columns</t>
  </si>
  <si>
    <t>History Separate from Forecast</t>
  </si>
  <si>
    <t xml:space="preserve">3. Make Working Area </t>
  </si>
  <si>
    <t>Separate History</t>
  </si>
  <si>
    <t>Better Format</t>
  </si>
  <si>
    <t>History and Forecast Flag</t>
  </si>
  <si>
    <t>Sales</t>
  </si>
  <si>
    <t>Expenses Fixed and Varaible</t>
  </si>
  <si>
    <t>Objectives</t>
  </si>
  <si>
    <t>Clearly See Assumptions</t>
  </si>
  <si>
    <t>Lay out History and Forecast</t>
  </si>
  <si>
    <t>Get Rid of Merged Cells</t>
  </si>
  <si>
    <t>Working Capital</t>
  </si>
  <si>
    <t>Historic ROIC and ROE</t>
  </si>
  <si>
    <t>Pre-tax ROIC</t>
  </si>
  <si>
    <t xml:space="preserve">ROIC </t>
  </si>
  <si>
    <t>Operating Taxes</t>
  </si>
  <si>
    <t>Capital Expenditures and Depreciation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</si>
</sst>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yyyy&quot;E&quot;"/>
    <numFmt numFmtId="165" formatCode="yyyy&quot;A&quot;"/>
    <numFmt numFmtId="166" formatCode="0.0"/>
    <numFmt numFmtId="167" formatCode="#,##0.0_);\(#,##0.0\)"/>
    <numFmt numFmtId="168" formatCode="#,##0.0"/>
    <numFmt numFmtId="169" formatCode="0.0\x"/>
    <numFmt numFmtId="170" formatCode="0.0%"/>
    <numFmt numFmtId="171" formatCode="0.0000"/>
    <numFmt numFmtId="172" formatCode="0.00000"/>
    <numFmt numFmtId="173" formatCode="0&quot; days&quot;"/>
    <numFmt numFmtId="174" formatCode="#,##0.0%;\(#,##0.0%\);\-"/>
    <numFmt numFmtId="175" formatCode="#,##0.00_);&quot;NA&quot;;\-"/>
    <numFmt numFmtId="176" formatCode="#,##0.00_);\(#,##0.00\);\-"/>
  </numFmts>
  <fonts count="23" x14ac:knownFonts="1">
    <font>
      <sz val="12"/>
      <color theme="1"/>
      <name val="Calibri"/>
      <family val="2"/>
      <scheme val="minor"/>
    </font>
    <font>
      <sz val="11"/>
      <color theme="1"/>
      <name val="Calibri"/>
      <family val="2"/>
      <scheme val="minor"/>
    </font>
    <font>
      <sz val="10"/>
      <name val="Arial"/>
      <family val="2"/>
    </font>
    <font>
      <sz val="1"/>
      <color indexed="9"/>
      <name val="Symbol"/>
      <family val="1"/>
      <charset val="2"/>
    </font>
    <font>
      <sz val="12"/>
      <color theme="1"/>
      <name val="Calibri"/>
      <family val="2"/>
      <scheme val="minor"/>
    </font>
    <font>
      <sz val="9"/>
      <color theme="1"/>
      <name val="Calibri"/>
      <family val="2"/>
      <scheme val="minor"/>
    </font>
    <font>
      <sz val="9"/>
      <color theme="1"/>
      <name val="Times New Roman"/>
      <family val="1"/>
    </font>
    <font>
      <b/>
      <sz val="9"/>
      <color indexed="81"/>
      <name val="Tahoma"/>
      <family val="2"/>
    </font>
    <font>
      <sz val="9"/>
      <color indexed="81"/>
      <name val="Tahoma"/>
      <family val="2"/>
    </font>
    <font>
      <sz val="10"/>
      <color theme="1"/>
      <name val="Times New Roman"/>
      <family val="1"/>
    </font>
    <font>
      <b/>
      <sz val="10"/>
      <color theme="1"/>
      <name val="Book Antiqua"/>
      <family val="1"/>
    </font>
    <font>
      <sz val="10"/>
      <color theme="1"/>
      <name val="Book Antiqua"/>
      <family val="1"/>
    </font>
    <font>
      <sz val="10"/>
      <name val="Book Antiqua"/>
      <family val="1"/>
    </font>
    <font>
      <b/>
      <i/>
      <sz val="10"/>
      <color theme="1"/>
      <name val="Book Antiqua"/>
      <family val="1"/>
    </font>
    <font>
      <b/>
      <sz val="10"/>
      <name val="Book Antiqua"/>
      <family val="1"/>
    </font>
    <font>
      <vertAlign val="superscript"/>
      <sz val="10"/>
      <color theme="1"/>
      <name val="Book Antiqua"/>
      <family val="1"/>
    </font>
    <font>
      <vertAlign val="superscript"/>
      <sz val="10"/>
      <name val="Book Antiqua"/>
      <family val="1"/>
    </font>
    <font>
      <b/>
      <u/>
      <sz val="10"/>
      <name val="Book Antiqua"/>
      <family val="1"/>
    </font>
    <font>
      <sz val="10"/>
      <color rgb="FFFF0000"/>
      <name val="Book Antiqua"/>
      <family val="1"/>
    </font>
    <font>
      <sz val="9"/>
      <name val="Calibri"/>
      <family val="2"/>
      <scheme val="minor"/>
    </font>
    <font>
      <b/>
      <sz val="10"/>
      <name val="Helvetica"/>
      <family val="2"/>
    </font>
    <font>
      <sz val="10"/>
      <name val="Helvetica"/>
    </font>
    <font>
      <b/>
      <sz val="10"/>
      <name val="Helvetica"/>
    </font>
  </fonts>
  <fills count="3">
    <fill>
      <patternFill patternType="none"/>
    </fill>
    <fill>
      <patternFill patternType="gray125"/>
    </fill>
    <fill>
      <patternFill patternType="solid">
        <fgColor theme="2"/>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5">
    <xf numFmtId="0" fontId="0" fillId="0" borderId="0"/>
    <xf numFmtId="0" fontId="2" fillId="0" borderId="0"/>
    <xf numFmtId="0" fontId="3" fillId="0" borderId="0" applyAlignment="0"/>
    <xf numFmtId="9" fontId="4" fillId="0" borderId="0" applyFont="0" applyFill="0" applyBorder="0" applyAlignment="0" applyProtection="0"/>
    <xf numFmtId="0" fontId="1" fillId="0" borderId="0"/>
  </cellStyleXfs>
  <cellXfs count="99">
    <xf numFmtId="0" fontId="0" fillId="0" borderId="0" xfId="0"/>
    <xf numFmtId="0" fontId="5" fillId="0" borderId="0" xfId="0" applyFont="1"/>
    <xf numFmtId="167" fontId="6" fillId="0" borderId="0" xfId="0" applyNumberFormat="1" applyFont="1"/>
    <xf numFmtId="171" fontId="5" fillId="0" borderId="0" xfId="0" applyNumberFormat="1" applyFont="1"/>
    <xf numFmtId="172" fontId="5" fillId="0" borderId="0" xfId="0" applyNumberFormat="1" applyFont="1"/>
    <xf numFmtId="0" fontId="6" fillId="0" borderId="0" xfId="0" applyFont="1"/>
    <xf numFmtId="166" fontId="5" fillId="0" borderId="0" xfId="0" applyNumberFormat="1" applyFont="1"/>
    <xf numFmtId="0" fontId="5" fillId="0" borderId="0" xfId="0" applyFont="1" applyBorder="1"/>
    <xf numFmtId="0" fontId="9" fillId="0" borderId="0" xfId="0" applyFont="1"/>
    <xf numFmtId="0" fontId="0" fillId="0" borderId="0" xfId="0" applyFill="1"/>
    <xf numFmtId="0" fontId="10" fillId="0" borderId="1" xfId="0" applyFont="1" applyFill="1" applyBorder="1"/>
    <xf numFmtId="0" fontId="11" fillId="0" borderId="1" xfId="0" applyFont="1" applyFill="1" applyBorder="1"/>
    <xf numFmtId="0" fontId="11" fillId="0" borderId="1" xfId="0" applyFont="1" applyBorder="1"/>
    <xf numFmtId="165" fontId="10" fillId="0" borderId="1" xfId="0" applyNumberFormat="1" applyFont="1" applyBorder="1" applyAlignment="1">
      <alignment horizontal="center"/>
    </xf>
    <xf numFmtId="164" fontId="10" fillId="0" borderId="1" xfId="0" applyNumberFormat="1" applyFont="1" applyBorder="1" applyAlignment="1">
      <alignment horizontal="center"/>
    </xf>
    <xf numFmtId="0" fontId="11" fillId="0" borderId="0" xfId="0" applyFont="1" applyFill="1" applyBorder="1"/>
    <xf numFmtId="168" fontId="11" fillId="0" borderId="0" xfId="0" applyNumberFormat="1" applyFont="1"/>
    <xf numFmtId="168" fontId="11" fillId="0" borderId="1" xfId="0" applyNumberFormat="1" applyFont="1" applyBorder="1"/>
    <xf numFmtId="0" fontId="11" fillId="0" borderId="2" xfId="0" applyFont="1" applyFill="1" applyBorder="1"/>
    <xf numFmtId="168" fontId="11" fillId="0" borderId="2" xfId="0" applyNumberFormat="1" applyFont="1" applyBorder="1"/>
    <xf numFmtId="0" fontId="11" fillId="0" borderId="0" xfId="0" applyFont="1" applyBorder="1"/>
    <xf numFmtId="168" fontId="11" fillId="0" borderId="0" xfId="0" applyNumberFormat="1" applyFont="1" applyBorder="1"/>
    <xf numFmtId="0" fontId="11" fillId="0" borderId="2" xfId="0" applyFont="1" applyBorder="1"/>
    <xf numFmtId="168" fontId="11" fillId="0" borderId="0" xfId="0" applyNumberFormat="1" applyFont="1" applyFill="1"/>
    <xf numFmtId="0" fontId="11" fillId="0" borderId="3" xfId="0" applyFont="1" applyFill="1" applyBorder="1"/>
    <xf numFmtId="4" fontId="11" fillId="0" borderId="3" xfId="0" applyNumberFormat="1" applyFont="1" applyFill="1" applyBorder="1"/>
    <xf numFmtId="169" fontId="11" fillId="0" borderId="0" xfId="0" applyNumberFormat="1" applyFont="1" applyFill="1" applyBorder="1"/>
    <xf numFmtId="169" fontId="11" fillId="0" borderId="1" xfId="0" applyNumberFormat="1" applyFont="1" applyFill="1" applyBorder="1"/>
    <xf numFmtId="0" fontId="11" fillId="0" borderId="0" xfId="0" applyFont="1" applyFill="1"/>
    <xf numFmtId="169" fontId="12" fillId="0" borderId="0" xfId="0" applyNumberFormat="1" applyFont="1" applyFill="1"/>
    <xf numFmtId="0" fontId="13" fillId="0" borderId="0" xfId="0" applyFont="1" applyFill="1"/>
    <xf numFmtId="0" fontId="11" fillId="0" borderId="0" xfId="0" applyFont="1"/>
    <xf numFmtId="166" fontId="11" fillId="0" borderId="0" xfId="0" applyNumberFormat="1" applyFont="1"/>
    <xf numFmtId="0" fontId="10" fillId="0" borderId="0" xfId="0" applyFont="1"/>
    <xf numFmtId="0" fontId="12" fillId="0" borderId="2" xfId="0" applyFont="1" applyBorder="1"/>
    <xf numFmtId="165" fontId="14" fillId="0" borderId="2" xfId="0" applyNumberFormat="1" applyFont="1" applyBorder="1" applyAlignment="1">
      <alignment horizontal="center"/>
    </xf>
    <xf numFmtId="164" fontId="14" fillId="0" borderId="2" xfId="0" applyNumberFormat="1" applyFont="1" applyBorder="1" applyAlignment="1">
      <alignment horizontal="center"/>
    </xf>
    <xf numFmtId="167" fontId="11" fillId="0" borderId="0" xfId="0" applyNumberFormat="1" applyFont="1"/>
    <xf numFmtId="167" fontId="12" fillId="0" borderId="0" xfId="0" applyNumberFormat="1" applyFont="1"/>
    <xf numFmtId="167" fontId="12" fillId="0" borderId="1" xfId="0" applyNumberFormat="1" applyFont="1" applyBorder="1"/>
    <xf numFmtId="167" fontId="11" fillId="0" borderId="1" xfId="0" applyNumberFormat="1" applyFont="1" applyBorder="1"/>
    <xf numFmtId="0" fontId="10" fillId="0" borderId="1" xfId="0" applyFont="1" applyBorder="1"/>
    <xf numFmtId="0" fontId="12" fillId="0" borderId="1" xfId="0" applyFont="1" applyBorder="1"/>
    <xf numFmtId="37" fontId="11" fillId="0" borderId="0" xfId="0" applyNumberFormat="1" applyFont="1"/>
    <xf numFmtId="39" fontId="11" fillId="0" borderId="0" xfId="0" applyNumberFormat="1" applyFont="1"/>
    <xf numFmtId="37" fontId="11" fillId="0" borderId="1" xfId="0" applyNumberFormat="1" applyFont="1" applyBorder="1"/>
    <xf numFmtId="0" fontId="12" fillId="0" borderId="0" xfId="0" applyFont="1" applyFill="1"/>
    <xf numFmtId="0" fontId="12" fillId="0" borderId="0" xfId="0" applyFont="1"/>
    <xf numFmtId="0" fontId="14" fillId="0" borderId="0" xfId="0" applyFont="1"/>
    <xf numFmtId="0" fontId="14" fillId="0" borderId="2" xfId="0" applyFont="1" applyBorder="1"/>
    <xf numFmtId="0" fontId="17" fillId="0" borderId="0" xfId="0" applyFont="1"/>
    <xf numFmtId="0" fontId="12" fillId="0" borderId="0" xfId="0" applyFont="1" applyFill="1" applyBorder="1"/>
    <xf numFmtId="0" fontId="12" fillId="0" borderId="0" xfId="0" applyFont="1" applyBorder="1"/>
    <xf numFmtId="174" fontId="12" fillId="0" borderId="1" xfId="3" applyNumberFormat="1" applyFont="1" applyBorder="1"/>
    <xf numFmtId="0" fontId="14" fillId="0" borderId="1" xfId="0" applyFont="1" applyBorder="1"/>
    <xf numFmtId="165" fontId="14" fillId="0" borderId="1" xfId="0" applyNumberFormat="1" applyFont="1" applyBorder="1" applyAlignment="1">
      <alignment horizontal="center"/>
    </xf>
    <xf numFmtId="164" fontId="14" fillId="0" borderId="1" xfId="0" applyNumberFormat="1" applyFont="1" applyBorder="1" applyAlignment="1">
      <alignment horizontal="center"/>
    </xf>
    <xf numFmtId="167" fontId="11" fillId="0" borderId="0" xfId="0" applyNumberFormat="1" applyFont="1" applyFill="1"/>
    <xf numFmtId="167" fontId="14" fillId="0" borderId="1" xfId="0" applyNumberFormat="1" applyFont="1" applyBorder="1"/>
    <xf numFmtId="167" fontId="10" fillId="0" borderId="1" xfId="0" applyNumberFormat="1" applyFont="1" applyBorder="1"/>
    <xf numFmtId="0" fontId="10" fillId="0" borderId="0" xfId="0" applyFont="1" applyBorder="1"/>
    <xf numFmtId="0" fontId="10" fillId="0" borderId="0" xfId="0" applyFont="1" applyFill="1" applyBorder="1"/>
    <xf numFmtId="0" fontId="0" fillId="0" borderId="0" xfId="0" applyBorder="1"/>
    <xf numFmtId="0" fontId="18" fillId="0" borderId="0" xfId="0" applyFont="1" applyBorder="1"/>
    <xf numFmtId="0" fontId="10" fillId="0" borderId="0" xfId="0" applyFont="1" applyFill="1"/>
    <xf numFmtId="176" fontId="11" fillId="0" borderId="0" xfId="0" applyNumberFormat="1" applyFont="1"/>
    <xf numFmtId="3" fontId="11" fillId="0" borderId="0" xfId="0" applyNumberFormat="1" applyFont="1"/>
    <xf numFmtId="2" fontId="11" fillId="0" borderId="0" xfId="0" applyNumberFormat="1" applyFont="1"/>
    <xf numFmtId="176" fontId="11" fillId="0" borderId="0" xfId="0" applyNumberFormat="1" applyFont="1" applyFill="1"/>
    <xf numFmtId="175" fontId="11" fillId="0" borderId="0" xfId="0" applyNumberFormat="1" applyFont="1"/>
    <xf numFmtId="175" fontId="11" fillId="0" borderId="0" xfId="0" applyNumberFormat="1" applyFont="1" applyBorder="1"/>
    <xf numFmtId="175" fontId="11" fillId="0" borderId="1" xfId="0" applyNumberFormat="1" applyFont="1" applyBorder="1"/>
    <xf numFmtId="0" fontId="10" fillId="0" borderId="2" xfId="0" applyFont="1" applyBorder="1"/>
    <xf numFmtId="0" fontId="10" fillId="0" borderId="0" xfId="0" applyFont="1" applyBorder="1" applyAlignment="1">
      <alignment horizontal="left"/>
    </xf>
    <xf numFmtId="0" fontId="10" fillId="0" borderId="0" xfId="0" applyFont="1"/>
    <xf numFmtId="167" fontId="11" fillId="0" borderId="1" xfId="0" applyNumberFormat="1" applyFont="1" applyFill="1" applyBorder="1"/>
    <xf numFmtId="167" fontId="11" fillId="0" borderId="0" xfId="0" applyNumberFormat="1" applyFont="1" applyBorder="1"/>
    <xf numFmtId="174" fontId="12" fillId="0" borderId="0" xfId="3" applyNumberFormat="1" applyFont="1"/>
    <xf numFmtId="0" fontId="19" fillId="0" borderId="0" xfId="0" applyFont="1"/>
    <xf numFmtId="168" fontId="12" fillId="0" borderId="0" xfId="0" applyNumberFormat="1" applyFont="1"/>
    <xf numFmtId="173" fontId="12" fillId="0" borderId="0" xfId="0" applyNumberFormat="1" applyFont="1"/>
    <xf numFmtId="170" fontId="12" fillId="0" borderId="0" xfId="3" applyNumberFormat="1" applyFont="1"/>
    <xf numFmtId="167" fontId="12" fillId="0" borderId="0" xfId="0" applyNumberFormat="1" applyFont="1" applyFill="1"/>
    <xf numFmtId="174" fontId="12" fillId="2" borderId="0" xfId="0" applyNumberFormat="1" applyFont="1" applyFill="1"/>
    <xf numFmtId="174" fontId="12" fillId="0" borderId="0" xfId="0" applyNumberFormat="1" applyFont="1"/>
    <xf numFmtId="174" fontId="12" fillId="0" borderId="0" xfId="3" applyNumberFormat="1" applyFont="1" applyBorder="1"/>
    <xf numFmtId="37" fontId="11" fillId="0" borderId="0" xfId="0" applyNumberFormat="1" applyFont="1" applyBorder="1"/>
    <xf numFmtId="39" fontId="11" fillId="0" borderId="0" xfId="0" applyNumberFormat="1" applyFont="1" applyBorder="1"/>
    <xf numFmtId="0" fontId="21" fillId="0" borderId="0" xfId="0" applyFont="1" applyFill="1" applyBorder="1" applyAlignment="1">
      <alignment wrapText="1"/>
    </xf>
    <xf numFmtId="0" fontId="22" fillId="0" borderId="0" xfId="0" applyFont="1" applyFill="1" applyBorder="1" applyAlignment="1">
      <alignment wrapText="1"/>
    </xf>
    <xf numFmtId="14" fontId="21" fillId="0" borderId="0" xfId="0" applyNumberFormat="1" applyFont="1" applyFill="1" applyBorder="1" applyAlignment="1">
      <alignment wrapText="1"/>
    </xf>
    <xf numFmtId="0" fontId="20" fillId="0" borderId="0" xfId="0" applyFont="1" applyFill="1" applyBorder="1" applyAlignment="1">
      <alignment wrapText="1"/>
    </xf>
    <xf numFmtId="0" fontId="21" fillId="0" borderId="0" xfId="0" applyFont="1" applyFill="1" applyBorder="1" applyAlignment="1">
      <alignment wrapText="1"/>
    </xf>
    <xf numFmtId="0" fontId="21" fillId="0" borderId="0" xfId="0" applyFont="1" applyFill="1" applyBorder="1" applyAlignment="1">
      <alignment horizontal="justify" vertical="top" wrapText="1"/>
    </xf>
    <xf numFmtId="0" fontId="10" fillId="0" borderId="0" xfId="0" applyFont="1" applyBorder="1" applyAlignment="1">
      <alignment horizontal="left"/>
    </xf>
    <xf numFmtId="0" fontId="10" fillId="0" borderId="0" xfId="0" applyFont="1" applyAlignment="1">
      <alignment horizontal="center"/>
    </xf>
    <xf numFmtId="0" fontId="10" fillId="0" borderId="0" xfId="0" applyFont="1" applyBorder="1"/>
    <xf numFmtId="0" fontId="10" fillId="0" borderId="0" xfId="0" applyFont="1" applyFill="1" applyBorder="1"/>
    <xf numFmtId="0" fontId="10" fillId="0" borderId="0" xfId="0" applyFont="1"/>
  </cellXfs>
  <cellStyles count="5">
    <cellStyle name="Invisible" xfId="2" xr:uid="{00000000-0005-0000-0000-000000000000}"/>
    <cellStyle name="Normal" xfId="0" builtinId="0"/>
    <cellStyle name="Normal 2" xfId="1" xr:uid="{00000000-0005-0000-0000-000002000000}"/>
    <cellStyle name="Normal 3" xfId="4" xr:uid="{00000000-0005-0000-0000-000003000000}"/>
    <cellStyle name="Percent" xfId="3" builtinId="5"/>
  </cellStyles>
  <dxfs count="0"/>
  <tableStyles count="0" defaultTableStyle="TableStyleMedium2" defaultPivotStyle="PivotStyleLight16"/>
  <colors>
    <mruColors>
      <color rgb="FF1D3764"/>
      <color rgb="FF008000"/>
      <color rgb="FF0000FF"/>
      <color rgb="FF5282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7F78F-0234-4FCE-9503-CFF1EFDD63BC}">
  <dimension ref="C3:D33"/>
  <sheetViews>
    <sheetView topLeftCell="A15" workbookViewId="0">
      <selection activeCell="D34" sqref="D34"/>
    </sheetView>
  </sheetViews>
  <sheetFormatPr defaultRowHeight="15.5" x14ac:dyDescent="0.35"/>
  <sheetData>
    <row r="3" spans="3:4" x14ac:dyDescent="0.35">
      <c r="C3" t="s">
        <v>142</v>
      </c>
    </row>
    <row r="5" spans="3:4" x14ac:dyDescent="0.35">
      <c r="C5" t="s">
        <v>153</v>
      </c>
    </row>
    <row r="6" spans="3:4" x14ac:dyDescent="0.35">
      <c r="C6" t="s">
        <v>154</v>
      </c>
    </row>
    <row r="7" spans="3:4" x14ac:dyDescent="0.35">
      <c r="C7" t="s">
        <v>155</v>
      </c>
    </row>
    <row r="9" spans="3:4" s="62" customFormat="1" x14ac:dyDescent="0.35"/>
    <row r="11" spans="3:4" x14ac:dyDescent="0.35">
      <c r="C11" t="s">
        <v>143</v>
      </c>
    </row>
    <row r="13" spans="3:4" x14ac:dyDescent="0.35">
      <c r="C13" t="s">
        <v>144</v>
      </c>
    </row>
    <row r="14" spans="3:4" x14ac:dyDescent="0.35">
      <c r="D14" t="s">
        <v>145</v>
      </c>
    </row>
    <row r="15" spans="3:4" x14ac:dyDescent="0.35">
      <c r="D15" t="s">
        <v>146</v>
      </c>
    </row>
    <row r="16" spans="3:4" x14ac:dyDescent="0.35">
      <c r="D16" t="s">
        <v>149</v>
      </c>
    </row>
    <row r="17" spans="3:4" x14ac:dyDescent="0.35">
      <c r="D17" t="s">
        <v>150</v>
      </c>
    </row>
    <row r="18" spans="3:4" x14ac:dyDescent="0.35">
      <c r="D18" t="s">
        <v>156</v>
      </c>
    </row>
    <row r="21" spans="3:4" x14ac:dyDescent="0.35">
      <c r="C21" t="s">
        <v>148</v>
      </c>
    </row>
    <row r="22" spans="3:4" x14ac:dyDescent="0.35">
      <c r="D22" t="s">
        <v>158</v>
      </c>
    </row>
    <row r="25" spans="3:4" x14ac:dyDescent="0.35">
      <c r="C25" t="s">
        <v>147</v>
      </c>
    </row>
    <row r="26" spans="3:4" x14ac:dyDescent="0.35">
      <c r="D26" t="s">
        <v>151</v>
      </c>
    </row>
    <row r="27" spans="3:4" x14ac:dyDescent="0.35">
      <c r="D27" t="s">
        <v>152</v>
      </c>
    </row>
    <row r="28" spans="3:4" x14ac:dyDescent="0.35">
      <c r="D28" t="s">
        <v>162</v>
      </c>
    </row>
    <row r="29" spans="3:4" x14ac:dyDescent="0.35">
      <c r="D29" t="s">
        <v>157</v>
      </c>
    </row>
    <row r="30" spans="3:4" x14ac:dyDescent="0.35">
      <c r="D30" t="s">
        <v>159</v>
      </c>
    </row>
    <row r="32" spans="3:4" x14ac:dyDescent="0.35">
      <c r="D32" t="s">
        <v>161</v>
      </c>
    </row>
    <row r="33" spans="4:4" x14ac:dyDescent="0.35">
      <c r="D33" t="s">
        <v>160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7"/>
  <sheetViews>
    <sheetView workbookViewId="0">
      <selection activeCell="A9" sqref="A9"/>
    </sheetView>
  </sheetViews>
  <sheetFormatPr defaultRowHeight="15.5" x14ac:dyDescent="0.35"/>
  <sheetData>
    <row r="1" spans="1:9" x14ac:dyDescent="0.35">
      <c r="A1" s="91" t="s">
        <v>141</v>
      </c>
      <c r="B1" s="91"/>
      <c r="C1" s="91"/>
      <c r="D1" s="91"/>
      <c r="E1" s="91"/>
      <c r="F1" s="91"/>
      <c r="G1" s="91"/>
      <c r="H1" s="91"/>
      <c r="I1" s="91"/>
    </row>
    <row r="2" spans="1:9" x14ac:dyDescent="0.35">
      <c r="A2" s="92" t="s">
        <v>137</v>
      </c>
      <c r="B2" s="92"/>
      <c r="C2" s="92"/>
      <c r="D2" s="92"/>
      <c r="E2" s="92"/>
      <c r="F2" s="92"/>
      <c r="G2" s="92"/>
      <c r="H2" s="92"/>
      <c r="I2" s="92"/>
    </row>
    <row r="3" spans="1:9" x14ac:dyDescent="0.35">
      <c r="A3" s="92" t="s">
        <v>140</v>
      </c>
      <c r="B3" s="92"/>
      <c r="C3" s="92"/>
      <c r="D3" s="92"/>
      <c r="E3" s="92"/>
      <c r="F3" s="92"/>
      <c r="G3" s="92"/>
      <c r="H3" s="92"/>
      <c r="I3" s="92"/>
    </row>
    <row r="4" spans="1:9" x14ac:dyDescent="0.35">
      <c r="A4" s="88"/>
      <c r="B4" s="88"/>
      <c r="C4" s="88"/>
      <c r="D4" s="88"/>
      <c r="E4" s="88"/>
      <c r="F4" s="88"/>
      <c r="G4" s="88"/>
      <c r="H4" s="88"/>
      <c r="I4" s="88"/>
    </row>
    <row r="5" spans="1:9" ht="91" customHeight="1" x14ac:dyDescent="0.35">
      <c r="A5" s="93" t="s">
        <v>138</v>
      </c>
      <c r="B5" s="93"/>
      <c r="C5" s="93"/>
      <c r="D5" s="93"/>
      <c r="E5" s="93"/>
      <c r="F5" s="93"/>
      <c r="G5" s="93"/>
      <c r="H5" s="93"/>
      <c r="I5" s="93"/>
    </row>
    <row r="6" spans="1:9" x14ac:dyDescent="0.35">
      <c r="A6" s="88"/>
      <c r="B6" s="88"/>
      <c r="C6" s="88"/>
      <c r="D6" s="88"/>
      <c r="E6" s="88"/>
      <c r="F6" s="88"/>
      <c r="G6" s="88"/>
      <c r="H6" s="88"/>
      <c r="I6" s="88"/>
    </row>
    <row r="7" spans="1:9" x14ac:dyDescent="0.35">
      <c r="A7" s="89" t="s">
        <v>139</v>
      </c>
      <c r="B7" s="90">
        <v>43278</v>
      </c>
      <c r="C7" s="88"/>
      <c r="D7" s="88"/>
      <c r="E7" s="88"/>
      <c r="F7" s="88"/>
      <c r="G7" s="88"/>
      <c r="H7" s="88"/>
      <c r="I7" s="88"/>
    </row>
  </sheetData>
  <mergeCells count="4">
    <mergeCell ref="A1:I1"/>
    <mergeCell ref="A2:I2"/>
    <mergeCell ref="A3:I3"/>
    <mergeCell ref="A5:I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114"/>
  <sheetViews>
    <sheetView showGridLines="0" tabSelected="1" zoomScale="120" zoomScaleNormal="120" workbookViewId="0">
      <selection activeCell="A16" sqref="A16"/>
    </sheetView>
  </sheetViews>
  <sheetFormatPr defaultColWidth="11" defaultRowHeight="13" x14ac:dyDescent="0.3"/>
  <cols>
    <col min="1" max="1" width="32.25" style="1" customWidth="1"/>
    <col min="2" max="9" width="8" style="1" customWidth="1"/>
    <col min="10" max="10" width="11" style="31"/>
    <col min="11" max="16384" width="11" style="1"/>
  </cols>
  <sheetData>
    <row r="1" spans="1:12" x14ac:dyDescent="0.3">
      <c r="A1" s="61" t="s">
        <v>121</v>
      </c>
      <c r="B1" s="15"/>
      <c r="C1" s="15"/>
      <c r="D1" s="15"/>
      <c r="E1" s="15"/>
      <c r="F1" s="15"/>
      <c r="G1" s="15"/>
      <c r="H1" s="15"/>
      <c r="I1" s="15"/>
      <c r="J1" s="20"/>
      <c r="K1" s="7"/>
      <c r="L1" s="7"/>
    </row>
    <row r="2" spans="1:12" x14ac:dyDescent="0.3">
      <c r="A2" s="61" t="s">
        <v>131</v>
      </c>
      <c r="B2" s="15"/>
      <c r="C2" s="15"/>
      <c r="D2" s="15"/>
      <c r="E2" s="15"/>
      <c r="F2" s="15"/>
      <c r="G2" s="15"/>
      <c r="H2" s="15"/>
      <c r="I2" s="15"/>
      <c r="J2" s="20"/>
      <c r="K2" s="7"/>
      <c r="L2" s="7"/>
    </row>
    <row r="3" spans="1:12" x14ac:dyDescent="0.3">
      <c r="A3" s="10"/>
      <c r="B3" s="11"/>
      <c r="C3" s="11"/>
      <c r="D3" s="11"/>
      <c r="E3" s="11"/>
      <c r="F3" s="11"/>
      <c r="G3" s="11"/>
      <c r="H3" s="11"/>
      <c r="I3" s="11"/>
    </row>
    <row r="4" spans="1:12" x14ac:dyDescent="0.3">
      <c r="A4" s="12"/>
      <c r="B4" s="13">
        <v>42004</v>
      </c>
      <c r="C4" s="13">
        <f>EOMONTH(B4,12)</f>
        <v>42369</v>
      </c>
      <c r="D4" s="13">
        <f>EOMONTH(C4,12)</f>
        <v>42735</v>
      </c>
      <c r="E4" s="14">
        <f>EOMONTH(D4,12)</f>
        <v>43100</v>
      </c>
      <c r="F4" s="14">
        <f>EOMONTH(E4,12)</f>
        <v>43465</v>
      </c>
      <c r="G4" s="14">
        <f>EOMONTH(F4,12)</f>
        <v>43830</v>
      </c>
      <c r="H4" s="14">
        <f>EOMONTH(G4,12)</f>
        <v>44196</v>
      </c>
      <c r="I4" s="14">
        <f>EOMONTH(H4,12)</f>
        <v>44561</v>
      </c>
    </row>
    <row r="5" spans="1:12" x14ac:dyDescent="0.3">
      <c r="A5" s="15" t="s">
        <v>51</v>
      </c>
      <c r="B5" s="16">
        <f>'Exhibit 3'!B31</f>
        <v>279.67020000000002</v>
      </c>
      <c r="C5" s="16">
        <f>'Exhibit 3'!C31</f>
        <v>251.30361900000025</v>
      </c>
      <c r="D5" s="16">
        <f>'Exhibit 3'!D31</f>
        <v>304.25415420699932</v>
      </c>
      <c r="E5" s="16">
        <f>'Exhibit 3'!E31</f>
        <v>371.27018204385013</v>
      </c>
      <c r="F5" s="16">
        <f>'Exhibit 3'!F31</f>
        <v>359.69694557214336</v>
      </c>
      <c r="G5" s="16">
        <f>'Exhibit 3'!G31</f>
        <v>368.62282285500243</v>
      </c>
      <c r="H5" s="16">
        <f>'Exhibit 3'!H31</f>
        <v>437.50648181554453</v>
      </c>
      <c r="I5" s="16">
        <f>'Exhibit 3'!I31</f>
        <v>484.5568971088997</v>
      </c>
      <c r="J5" s="32"/>
    </row>
    <row r="6" spans="1:12" x14ac:dyDescent="0.3">
      <c r="A6" s="15" t="s">
        <v>13</v>
      </c>
      <c r="B6" s="16">
        <f>B35*B39</f>
        <v>1552.5405000000001</v>
      </c>
      <c r="C6" s="16">
        <f>C35*C39</f>
        <v>1894.0360410000001</v>
      </c>
      <c r="D6" s="16">
        <f>D35*D39</f>
        <v>2315.3772190590003</v>
      </c>
      <c r="E6" s="16">
        <f>E35*E39</f>
        <v>2824.9461813257999</v>
      </c>
      <c r="F6" s="16">
        <f>F35*F39</f>
        <v>3276.9375703379278</v>
      </c>
      <c r="G6" s="16">
        <f>G35*G39</f>
        <v>3539.0925759649626</v>
      </c>
      <c r="H6" s="16">
        <f>H35*H39</f>
        <v>3751.4381305228603</v>
      </c>
      <c r="I6" s="16">
        <f>I35*I39</f>
        <v>3976.5244183542322</v>
      </c>
      <c r="J6" s="31" t="s">
        <v>114</v>
      </c>
    </row>
    <row r="7" spans="1:12" x14ac:dyDescent="0.3">
      <c r="A7" s="15" t="s">
        <v>2</v>
      </c>
      <c r="B7" s="16">
        <f>B35*B40</f>
        <v>1672.9416000000003</v>
      </c>
      <c r="C7" s="16">
        <f>C35*C40</f>
        <v>2096.6901030000004</v>
      </c>
      <c r="D7" s="16">
        <f>D35*D40</f>
        <v>2436.2603670420003</v>
      </c>
      <c r="E7" s="16">
        <f>E35*E40</f>
        <v>2997.9020699784</v>
      </c>
      <c r="F7" s="16">
        <f>F35*F40</f>
        <v>3477.5664011749441</v>
      </c>
      <c r="G7" s="16">
        <f>G35*G40</f>
        <v>3755.7717132689399</v>
      </c>
      <c r="H7" s="16">
        <f>H35*H40</f>
        <v>3981.1180160650765</v>
      </c>
      <c r="I7" s="16">
        <f>I35*I40</f>
        <v>4219.9850970289808</v>
      </c>
      <c r="J7" s="31" t="s">
        <v>113</v>
      </c>
    </row>
    <row r="8" spans="1:12" x14ac:dyDescent="0.3">
      <c r="A8" s="11" t="s">
        <v>37</v>
      </c>
      <c r="B8" s="17">
        <f>B35*B44</f>
        <v>253.47600000000003</v>
      </c>
      <c r="C8" s="17">
        <f>C35*C44</f>
        <v>311.77548000000002</v>
      </c>
      <c r="D8" s="17">
        <f>D35*D44</f>
        <v>371.94814764000006</v>
      </c>
      <c r="E8" s="17">
        <f>E35*E44</f>
        <v>461.21570307360003</v>
      </c>
      <c r="F8" s="17">
        <f>F35*F44</f>
        <v>535.01021556537603</v>
      </c>
      <c r="G8" s="17">
        <f>G35*G44</f>
        <v>577.81103281060609</v>
      </c>
      <c r="H8" s="17">
        <f>H35*H44</f>
        <v>612.47969477924255</v>
      </c>
      <c r="I8" s="17">
        <f>I35*I44</f>
        <v>649.22847646599712</v>
      </c>
      <c r="J8" s="31" t="s">
        <v>100</v>
      </c>
    </row>
    <row r="9" spans="1:12" x14ac:dyDescent="0.3">
      <c r="A9" s="15" t="s">
        <v>14</v>
      </c>
      <c r="B9" s="16">
        <f>SUM(B5:B8)</f>
        <v>3758.6283000000008</v>
      </c>
      <c r="C9" s="16">
        <f>SUM(C5:C8)</f>
        <v>4553.8052430000007</v>
      </c>
      <c r="D9" s="16">
        <f>SUM(D5:D8)</f>
        <v>5427.8398879479992</v>
      </c>
      <c r="E9" s="16">
        <f>SUM(E5:E8)</f>
        <v>6655.3341364216503</v>
      </c>
      <c r="F9" s="16">
        <f>SUM(F5:F8)</f>
        <v>7649.2111326503909</v>
      </c>
      <c r="G9" s="16">
        <f>SUM(G5:G8)</f>
        <v>8241.2981448995124</v>
      </c>
      <c r="H9" s="16">
        <f>SUM(H5:H8)</f>
        <v>8782.5423231827244</v>
      </c>
      <c r="I9" s="16">
        <f>SUM(I5:I8)</f>
        <v>9330.2948889581094</v>
      </c>
      <c r="J9" s="32"/>
    </row>
    <row r="10" spans="1:12" x14ac:dyDescent="0.3">
      <c r="A10" s="15"/>
      <c r="B10" s="16"/>
      <c r="C10" s="16"/>
      <c r="D10" s="16"/>
      <c r="E10" s="16"/>
      <c r="F10" s="16"/>
      <c r="G10" s="16"/>
      <c r="H10" s="16"/>
      <c r="I10" s="16"/>
      <c r="J10" s="32"/>
    </row>
    <row r="11" spans="1:12" x14ac:dyDescent="0.3">
      <c r="A11" s="15" t="s">
        <v>15</v>
      </c>
      <c r="B11" s="16">
        <f>B51</f>
        <v>3874.0107599999997</v>
      </c>
      <c r="C11" s="16">
        <f>C51</f>
        <v>4293.3487805999994</v>
      </c>
      <c r="D11" s="16">
        <f>D51</f>
        <v>4654.1384838107997</v>
      </c>
      <c r="E11" s="16">
        <f>E51</f>
        <v>4847.8490791017121</v>
      </c>
      <c r="F11" s="16">
        <f>F51</f>
        <v>4938.8008157478262</v>
      </c>
      <c r="G11" s="16">
        <f>G51</f>
        <v>4875.2416021386589</v>
      </c>
      <c r="H11" s="16">
        <f>H51</f>
        <v>4789.4944448695651</v>
      </c>
      <c r="I11" s="16">
        <f>I51</f>
        <v>4698.6024581643251</v>
      </c>
      <c r="J11" s="32"/>
    </row>
    <row r="12" spans="1:12" x14ac:dyDescent="0.3">
      <c r="A12" s="18" t="s">
        <v>16</v>
      </c>
      <c r="B12" s="19">
        <f>B9+B11</f>
        <v>7632.6390600000004</v>
      </c>
      <c r="C12" s="19">
        <f>C9+C11</f>
        <v>8847.1540236000001</v>
      </c>
      <c r="D12" s="19">
        <f>D9+D11</f>
        <v>10081.9783717588</v>
      </c>
      <c r="E12" s="19">
        <f>E9+E11</f>
        <v>11503.183215523362</v>
      </c>
      <c r="F12" s="19">
        <f>F9+F11</f>
        <v>12588.011948398216</v>
      </c>
      <c r="G12" s="19">
        <f>G9+G11</f>
        <v>13116.539747038172</v>
      </c>
      <c r="H12" s="19">
        <f>H9+H11</f>
        <v>13572.03676805229</v>
      </c>
      <c r="I12" s="19">
        <f>I9+I11</f>
        <v>14028.897347122434</v>
      </c>
      <c r="J12" s="32"/>
    </row>
    <row r="13" spans="1:12" x14ac:dyDescent="0.3">
      <c r="A13" s="15"/>
      <c r="B13" s="16"/>
      <c r="C13" s="16"/>
      <c r="D13" s="16"/>
      <c r="E13" s="16"/>
      <c r="F13" s="16"/>
      <c r="G13" s="16"/>
      <c r="H13" s="16"/>
      <c r="I13" s="16"/>
      <c r="J13" s="32"/>
    </row>
    <row r="14" spans="1:12" x14ac:dyDescent="0.3">
      <c r="A14" s="15" t="s">
        <v>17</v>
      </c>
      <c r="B14" s="16">
        <f>B35*B41</f>
        <v>773.10180000000003</v>
      </c>
      <c r="C14" s="16">
        <f>C35*C41</f>
        <v>935.32644000000005</v>
      </c>
      <c r="D14" s="16">
        <f>D35*D41</f>
        <v>1153.0392576840002</v>
      </c>
      <c r="E14" s="16">
        <f>E35*E41</f>
        <v>1383.6471092208001</v>
      </c>
      <c r="F14" s="16">
        <f>F35*F41</f>
        <v>1605.0306466961279</v>
      </c>
      <c r="G14" s="16">
        <f>G35*G41</f>
        <v>1733.4330984318183</v>
      </c>
      <c r="H14" s="16">
        <f>H35*H41</f>
        <v>1837.4390843377273</v>
      </c>
      <c r="I14" s="16">
        <f>I35*I41</f>
        <v>1947.6854293979911</v>
      </c>
      <c r="J14" s="31" t="s">
        <v>101</v>
      </c>
    </row>
    <row r="15" spans="1:12" x14ac:dyDescent="0.3">
      <c r="A15" s="15" t="s">
        <v>116</v>
      </c>
      <c r="B15" s="16">
        <f>B35*B45</f>
        <v>418.23540000000008</v>
      </c>
      <c r="C15" s="16">
        <f>C35*C45</f>
        <v>491.04638100000005</v>
      </c>
      <c r="D15" s="16">
        <f>D35*D45</f>
        <v>567.22092515100007</v>
      </c>
      <c r="E15" s="16">
        <f>E35*E45</f>
        <v>714.88433976407998</v>
      </c>
      <c r="F15" s="16">
        <f>F35*F45</f>
        <v>829.26583412633272</v>
      </c>
      <c r="G15" s="16">
        <f>G35*G45</f>
        <v>895.6071008564395</v>
      </c>
      <c r="H15" s="16">
        <f>H35*H45</f>
        <v>949.34352690782589</v>
      </c>
      <c r="I15" s="16">
        <f>I35*I45</f>
        <v>1006.3041385222955</v>
      </c>
      <c r="J15" s="31" t="s">
        <v>108</v>
      </c>
      <c r="K15" s="3"/>
    </row>
    <row r="16" spans="1:12" x14ac:dyDescent="0.3">
      <c r="A16" s="15" t="s">
        <v>92</v>
      </c>
      <c r="B16" s="16">
        <v>3020</v>
      </c>
      <c r="C16" s="16">
        <f>B16+'Exhibit 3'!C21</f>
        <v>3880</v>
      </c>
      <c r="D16" s="16">
        <f>C16+'Exhibit 3'!D21</f>
        <v>4580</v>
      </c>
      <c r="E16" s="16">
        <f>D16+'Exhibit 3'!E21</f>
        <v>5080</v>
      </c>
      <c r="F16" s="16">
        <f>E16+'Exhibit 3'!F21</f>
        <v>5230</v>
      </c>
      <c r="G16" s="16">
        <f>F16+'Exhibit 3'!G21</f>
        <v>4930</v>
      </c>
      <c r="H16" s="16">
        <f>G16+'Exhibit 3'!H21</f>
        <v>4530</v>
      </c>
      <c r="I16" s="16">
        <f>H16+'Exhibit 3'!I21</f>
        <v>4030</v>
      </c>
      <c r="J16" s="32"/>
      <c r="K16" s="3"/>
    </row>
    <row r="17" spans="1:16" x14ac:dyDescent="0.3">
      <c r="A17" s="15" t="s">
        <v>21</v>
      </c>
      <c r="B17" s="16">
        <f>B74</f>
        <v>351.90000000000003</v>
      </c>
      <c r="C17" s="16">
        <f>C74</f>
        <v>360.66617651000018</v>
      </c>
      <c r="D17" s="16">
        <f>D74</f>
        <v>406.24451359182979</v>
      </c>
      <c r="E17" s="16">
        <f>E74</f>
        <v>527.8957385222792</v>
      </c>
      <c r="F17" s="16">
        <f>F74</f>
        <v>590.11921044584381</v>
      </c>
      <c r="G17" s="16">
        <f>G74</f>
        <v>624.04955831699988</v>
      </c>
      <c r="H17" s="16">
        <f>H74</f>
        <v>658.31486518083818</v>
      </c>
      <c r="I17" s="16">
        <f>I74</f>
        <v>702.47237725168793</v>
      </c>
      <c r="J17" s="32"/>
      <c r="K17" s="3"/>
    </row>
    <row r="18" spans="1:16" x14ac:dyDescent="0.3">
      <c r="A18" s="11" t="s">
        <v>18</v>
      </c>
      <c r="B18" s="17">
        <f>B64</f>
        <v>150</v>
      </c>
      <c r="C18" s="17">
        <f>C64</f>
        <v>150</v>
      </c>
      <c r="D18" s="17">
        <f>D64</f>
        <v>150</v>
      </c>
      <c r="E18" s="17">
        <f>E64</f>
        <v>150</v>
      </c>
      <c r="F18" s="17">
        <f>F64</f>
        <v>150</v>
      </c>
      <c r="G18" s="17">
        <f>G64</f>
        <v>150</v>
      </c>
      <c r="H18" s="17">
        <f>H64</f>
        <v>150</v>
      </c>
      <c r="I18" s="17">
        <f>I64</f>
        <v>150</v>
      </c>
      <c r="J18" s="32"/>
      <c r="K18" s="4"/>
    </row>
    <row r="19" spans="1:16" x14ac:dyDescent="0.3">
      <c r="A19" s="15" t="s">
        <v>19</v>
      </c>
      <c r="B19" s="16">
        <f>SUM(B14:B18)</f>
        <v>4713.2371999999996</v>
      </c>
      <c r="C19" s="16">
        <f>SUM(C14:C18)</f>
        <v>5817.0389975099997</v>
      </c>
      <c r="D19" s="16">
        <f>SUM(D14:D18)</f>
        <v>6856.5046964268295</v>
      </c>
      <c r="E19" s="16">
        <f>SUM(E14:E18)</f>
        <v>7856.4271875071599</v>
      </c>
      <c r="F19" s="16">
        <f>SUM(F14:F18)</f>
        <v>8404.4156912683047</v>
      </c>
      <c r="G19" s="16">
        <f>SUM(G14:G18)</f>
        <v>8333.0897576052575</v>
      </c>
      <c r="H19" s="16">
        <f>SUM(H14:H18)</f>
        <v>8125.097476426391</v>
      </c>
      <c r="I19" s="16">
        <f>SUM(I14:I18)</f>
        <v>7836.4619451719745</v>
      </c>
      <c r="J19" s="32"/>
    </row>
    <row r="20" spans="1:16" x14ac:dyDescent="0.3">
      <c r="A20" s="15"/>
      <c r="B20" s="16"/>
      <c r="C20" s="16"/>
      <c r="D20" s="16"/>
      <c r="E20" s="16"/>
      <c r="F20" s="16"/>
      <c r="G20" s="16"/>
      <c r="H20" s="16"/>
      <c r="I20" s="16"/>
      <c r="J20" s="32"/>
    </row>
    <row r="21" spans="1:16" x14ac:dyDescent="0.3">
      <c r="A21" s="11" t="s">
        <v>20</v>
      </c>
      <c r="B21" s="17">
        <f>B62</f>
        <v>1980</v>
      </c>
      <c r="C21" s="17">
        <f>C62</f>
        <v>1830</v>
      </c>
      <c r="D21" s="17">
        <f>D62</f>
        <v>1680</v>
      </c>
      <c r="E21" s="17">
        <f>E62</f>
        <v>1530</v>
      </c>
      <c r="F21" s="17">
        <f>F62</f>
        <v>1380</v>
      </c>
      <c r="G21" s="17">
        <f>G62</f>
        <v>1230</v>
      </c>
      <c r="H21" s="17">
        <f>H62</f>
        <v>1080</v>
      </c>
      <c r="I21" s="17">
        <f>I62</f>
        <v>930</v>
      </c>
      <c r="J21" s="32"/>
    </row>
    <row r="22" spans="1:16" x14ac:dyDescent="0.3">
      <c r="A22" s="20" t="s">
        <v>22</v>
      </c>
      <c r="B22" s="16">
        <f>SUM(B19:B21)</f>
        <v>6693.2371999999996</v>
      </c>
      <c r="C22" s="16">
        <f>SUM(C19:C21)</f>
        <v>7647.0389975099997</v>
      </c>
      <c r="D22" s="16">
        <f>SUM(D19:D21)</f>
        <v>8536.5046964268295</v>
      </c>
      <c r="E22" s="16">
        <f>SUM(E19:E21)</f>
        <v>9386.4271875071609</v>
      </c>
      <c r="F22" s="16">
        <f>SUM(F19:F21)</f>
        <v>9784.4156912683047</v>
      </c>
      <c r="G22" s="16">
        <f>SUM(G19:G21)</f>
        <v>9563.0897576052575</v>
      </c>
      <c r="H22" s="16">
        <f>SUM(H19:H21)</f>
        <v>9205.0974764263919</v>
      </c>
      <c r="I22" s="16">
        <f>SUM(I19:I21)</f>
        <v>8766.4619451719736</v>
      </c>
      <c r="J22" s="32"/>
    </row>
    <row r="23" spans="1:16" x14ac:dyDescent="0.3">
      <c r="A23" s="15"/>
      <c r="B23" s="16"/>
      <c r="C23" s="16"/>
      <c r="D23" s="16"/>
      <c r="E23" s="16"/>
      <c r="F23" s="16"/>
      <c r="G23" s="16"/>
      <c r="H23" s="16"/>
      <c r="I23" s="16"/>
      <c r="J23" s="32"/>
    </row>
    <row r="24" spans="1:16" x14ac:dyDescent="0.3">
      <c r="A24" s="20" t="s">
        <v>94</v>
      </c>
      <c r="B24" s="21">
        <v>939.4</v>
      </c>
      <c r="C24" s="21">
        <f>B24+'Exhibit 2'!C16</f>
        <v>1200.1131660900003</v>
      </c>
      <c r="D24" s="21">
        <f>C24+'Exhibit 2'!D16</f>
        <v>1545.47181533197</v>
      </c>
      <c r="E24" s="21">
        <f>D24+'Exhibit 2'!E16</f>
        <v>2116.754168016203</v>
      </c>
      <c r="F24" s="21">
        <f>E24+'Exhibit 2'!F16</f>
        <v>2803.594397129913</v>
      </c>
      <c r="G24" s="21">
        <f>F24+'Exhibit 2'!G16</f>
        <v>3553.448129432913</v>
      </c>
      <c r="H24" s="21">
        <f>G24+'Exhibit 2'!H16</f>
        <v>4366.9374316258982</v>
      </c>
      <c r="I24" s="21">
        <f>H24+'Exhibit 2'!I16</f>
        <v>5262.4335419504614</v>
      </c>
      <c r="J24" s="32"/>
      <c r="K24" s="6"/>
      <c r="L24" s="6"/>
      <c r="M24" s="6"/>
      <c r="N24" s="6"/>
      <c r="O24" s="6"/>
      <c r="P24" s="6"/>
    </row>
    <row r="25" spans="1:16" x14ac:dyDescent="0.3">
      <c r="A25" s="22" t="s">
        <v>23</v>
      </c>
      <c r="B25" s="19">
        <f>B22+B24</f>
        <v>7632.6371999999992</v>
      </c>
      <c r="C25" s="19">
        <f>C22+C24</f>
        <v>8847.1521635999998</v>
      </c>
      <c r="D25" s="19">
        <f>D22+D24</f>
        <v>10081.976511758799</v>
      </c>
      <c r="E25" s="19">
        <f>E22+E24</f>
        <v>11503.181355523364</v>
      </c>
      <c r="F25" s="19">
        <f>F22+F24</f>
        <v>12588.010088398218</v>
      </c>
      <c r="G25" s="19">
        <f>G22+G24</f>
        <v>13116.53788703817</v>
      </c>
      <c r="H25" s="19">
        <f>H22+H24</f>
        <v>13572.03490805229</v>
      </c>
      <c r="I25" s="19">
        <f>I22+I24</f>
        <v>14028.895487122434</v>
      </c>
      <c r="J25" s="32"/>
    </row>
    <row r="26" spans="1:16" x14ac:dyDescent="0.3">
      <c r="A26" s="15"/>
      <c r="B26" s="23"/>
      <c r="C26" s="23"/>
      <c r="D26" s="23"/>
      <c r="E26" s="23"/>
      <c r="F26" s="23"/>
      <c r="G26" s="23"/>
      <c r="H26" s="23"/>
      <c r="I26" s="23"/>
    </row>
    <row r="27" spans="1:16" x14ac:dyDescent="0.3">
      <c r="A27" s="24" t="s">
        <v>104</v>
      </c>
      <c r="B27" s="25">
        <f>B16/(B6+B7)</f>
        <v>0.93629414343982864</v>
      </c>
      <c r="C27" s="25">
        <f>C16/(C6+C7)</f>
        <v>0.97225413621366241</v>
      </c>
      <c r="D27" s="25">
        <f>D16/(D6+D7)</f>
        <v>0.96387822450873428</v>
      </c>
      <c r="E27" s="25">
        <f>E16/(E6+E7)</f>
        <v>0.87242527724506358</v>
      </c>
      <c r="F27" s="25">
        <f>F16/(F6+F7)</f>
        <v>0.77429816046559918</v>
      </c>
      <c r="G27" s="25">
        <f>G16/(G6+G7)</f>
        <v>0.6758179185424904</v>
      </c>
      <c r="H27" s="25">
        <f>H16/(H6+H7)</f>
        <v>0.58583473745598413</v>
      </c>
      <c r="I27" s="25">
        <f>I16/(I6+I7)</f>
        <v>0.49167270439160643</v>
      </c>
    </row>
    <row r="28" spans="1:16" x14ac:dyDescent="0.3">
      <c r="A28" s="15" t="s">
        <v>105</v>
      </c>
      <c r="B28" s="26">
        <f>B22/B24</f>
        <v>7.1250129870129868</v>
      </c>
      <c r="C28" s="26">
        <f>C22/C24</f>
        <v>6.3719315924382789</v>
      </c>
      <c r="D28" s="26">
        <f>D22/D24</f>
        <v>5.5235589622145094</v>
      </c>
      <c r="E28" s="26">
        <f>E22/E24</f>
        <v>4.43434921699198</v>
      </c>
      <c r="F28" s="26">
        <f>F22/F24</f>
        <v>3.4899540751275495</v>
      </c>
      <c r="G28" s="26">
        <f>G22/G24</f>
        <v>2.6912141135239844</v>
      </c>
      <c r="H28" s="26">
        <f>H22/H24</f>
        <v>2.1079068845278028</v>
      </c>
      <c r="I28" s="26">
        <f>I22/I24</f>
        <v>1.6658570365380394</v>
      </c>
    </row>
    <row r="29" spans="1:16" x14ac:dyDescent="0.3">
      <c r="A29" s="11" t="s">
        <v>103</v>
      </c>
      <c r="B29" s="27">
        <f>(B16+B18+B21)/B24</f>
        <v>5.48222269533745</v>
      </c>
      <c r="C29" s="27">
        <f>(C16+C18+C21)/C24</f>
        <v>4.8828728536426542</v>
      </c>
      <c r="D29" s="27">
        <f>(D16+D18+D21)/D24</f>
        <v>4.1476007109344284</v>
      </c>
      <c r="E29" s="27">
        <f>(E16+E18+E21)/E24</f>
        <v>3.1935687677588902</v>
      </c>
      <c r="F29" s="27">
        <f>(F16+F18+F21)/F24</f>
        <v>2.4111904371475155</v>
      </c>
      <c r="G29" s="27">
        <f>(G16+G18+G21)/G24</f>
        <v>1.7757400052458341</v>
      </c>
      <c r="H29" s="27">
        <f>(H16+H18+H21)/H24</f>
        <v>1.3190021817774102</v>
      </c>
      <c r="I29" s="27">
        <f>(I16+I18+I21)/I24</f>
        <v>0.97103364047539809</v>
      </c>
    </row>
    <row r="30" spans="1:16" x14ac:dyDescent="0.3">
      <c r="A30" s="28"/>
      <c r="B30" s="29"/>
      <c r="C30" s="29"/>
      <c r="D30" s="29"/>
      <c r="E30" s="29"/>
      <c r="F30" s="29"/>
      <c r="G30" s="29"/>
      <c r="H30" s="29"/>
      <c r="I30" s="29"/>
    </row>
    <row r="31" spans="1:16" x14ac:dyDescent="0.3">
      <c r="A31" s="30" t="s">
        <v>115</v>
      </c>
      <c r="B31" s="31"/>
      <c r="C31" s="31"/>
      <c r="D31" s="16"/>
      <c r="E31" s="32"/>
      <c r="F31" s="31"/>
      <c r="G31" s="31"/>
      <c r="H31" s="31"/>
      <c r="I31" s="31"/>
    </row>
    <row r="32" spans="1:16" x14ac:dyDescent="0.3">
      <c r="A32" s="33" t="s">
        <v>59</v>
      </c>
      <c r="B32" s="31"/>
      <c r="C32" s="31"/>
      <c r="D32" s="31"/>
      <c r="E32" s="31"/>
      <c r="F32" s="31"/>
      <c r="G32" s="31"/>
      <c r="H32" s="31"/>
      <c r="I32" s="31"/>
    </row>
    <row r="33" spans="1:10" x14ac:dyDescent="0.3">
      <c r="A33" s="34"/>
      <c r="B33" s="35">
        <v>42004</v>
      </c>
      <c r="C33" s="35">
        <f>EOMONTH(B33,12)</f>
        <v>42369</v>
      </c>
      <c r="D33" s="35">
        <f>EOMONTH(C33,12)</f>
        <v>42735</v>
      </c>
      <c r="E33" s="36">
        <f>EOMONTH(D33,12)</f>
        <v>43100</v>
      </c>
      <c r="F33" s="36">
        <f>EOMONTH(E33,12)</f>
        <v>43465</v>
      </c>
      <c r="G33" s="36">
        <f>EOMONTH(F33,12)</f>
        <v>43830</v>
      </c>
      <c r="H33" s="36">
        <f>EOMONTH(G33,12)</f>
        <v>44196</v>
      </c>
      <c r="I33" s="36">
        <f>EOMONTH(H33,12)</f>
        <v>44561</v>
      </c>
    </row>
    <row r="34" spans="1:10" s="78" customFormat="1" x14ac:dyDescent="0.3">
      <c r="A34" s="50" t="s">
        <v>43</v>
      </c>
      <c r="B34" s="47"/>
      <c r="C34" s="47"/>
      <c r="D34" s="47"/>
      <c r="E34" s="47"/>
      <c r="F34" s="47"/>
      <c r="G34" s="47"/>
      <c r="H34" s="47"/>
      <c r="I34" s="47"/>
      <c r="J34" s="47"/>
    </row>
    <row r="35" spans="1:10" s="78" customFormat="1" x14ac:dyDescent="0.3">
      <c r="A35" s="47" t="s">
        <v>0</v>
      </c>
      <c r="B35" s="79">
        <f>'Exhibit 2'!B5</f>
        <v>6336.9000000000005</v>
      </c>
      <c r="C35" s="79">
        <f>'Exhibit 2'!C5</f>
        <v>7794.3870000000006</v>
      </c>
      <c r="D35" s="79">
        <f>'Exhibit 2'!D5</f>
        <v>9298.7036910000006</v>
      </c>
      <c r="E35" s="79">
        <f>'Exhibit 2'!E5</f>
        <v>11530.39257684</v>
      </c>
      <c r="F35" s="79">
        <f>'Exhibit 2'!F5</f>
        <v>13375.2553891344</v>
      </c>
      <c r="G35" s="79">
        <f>'Exhibit 2'!G5</f>
        <v>14445.275820265153</v>
      </c>
      <c r="H35" s="79">
        <f>'Exhibit 2'!H5</f>
        <v>15311.992369481062</v>
      </c>
      <c r="I35" s="79">
        <f>'Exhibit 2'!I5</f>
        <v>16230.711911649927</v>
      </c>
      <c r="J35" s="47"/>
    </row>
    <row r="36" spans="1:10" s="78" customFormat="1" x14ac:dyDescent="0.3">
      <c r="A36" s="47" t="s">
        <v>44</v>
      </c>
      <c r="B36" s="79">
        <f>'Exhibit 2'!B6</f>
        <v>2686.8456000000001</v>
      </c>
      <c r="C36" s="79">
        <f>'Exhibit 2'!C6</f>
        <v>3359.3807970000003</v>
      </c>
      <c r="D36" s="79">
        <f>'Exhibit 2'!D6</f>
        <v>4035.637401894</v>
      </c>
      <c r="E36" s="79">
        <f>'Exhibit 2'!E6</f>
        <v>4958.0688080412001</v>
      </c>
      <c r="F36" s="79">
        <f>'Exhibit 2'!F6</f>
        <v>5751.3598173277915</v>
      </c>
      <c r="G36" s="79">
        <f>'Exhibit 2'!G6</f>
        <v>6211.468602714016</v>
      </c>
      <c r="H36" s="79">
        <f>'Exhibit 2'!H6</f>
        <v>6584.1567188768568</v>
      </c>
      <c r="I36" s="79">
        <f>'Exhibit 2'!I6</f>
        <v>6979.2061220094683</v>
      </c>
      <c r="J36" s="47"/>
    </row>
    <row r="37" spans="1:10" s="78" customFormat="1" x14ac:dyDescent="0.3">
      <c r="A37" s="47"/>
      <c r="B37" s="80"/>
      <c r="C37" s="80"/>
      <c r="D37" s="80"/>
      <c r="E37" s="80"/>
      <c r="F37" s="80"/>
      <c r="G37" s="80"/>
      <c r="H37" s="80"/>
      <c r="I37" s="80"/>
      <c r="J37" s="47"/>
    </row>
    <row r="38" spans="1:10" s="78" customFormat="1" x14ac:dyDescent="0.3">
      <c r="A38" s="50" t="s">
        <v>74</v>
      </c>
      <c r="B38" s="80"/>
      <c r="C38" s="80"/>
      <c r="D38" s="80"/>
      <c r="E38" s="80"/>
      <c r="F38" s="80"/>
      <c r="G38" s="80"/>
      <c r="H38" s="80"/>
      <c r="I38" s="80"/>
      <c r="J38" s="47"/>
    </row>
    <row r="39" spans="1:10" s="78" customFormat="1" x14ac:dyDescent="0.3">
      <c r="A39" s="47" t="s">
        <v>75</v>
      </c>
      <c r="B39" s="81">
        <v>0.245</v>
      </c>
      <c r="C39" s="81">
        <v>0.24299999999999999</v>
      </c>
      <c r="D39" s="81">
        <v>0.249</v>
      </c>
      <c r="E39" s="81">
        <v>0.245</v>
      </c>
      <c r="F39" s="81">
        <v>0.245</v>
      </c>
      <c r="G39" s="81">
        <v>0.245</v>
      </c>
      <c r="H39" s="81">
        <v>0.245</v>
      </c>
      <c r="I39" s="81">
        <v>0.245</v>
      </c>
      <c r="J39" s="47"/>
    </row>
    <row r="40" spans="1:10" s="78" customFormat="1" x14ac:dyDescent="0.3">
      <c r="A40" s="47" t="s">
        <v>76</v>
      </c>
      <c r="B40" s="81">
        <v>0.26400000000000001</v>
      </c>
      <c r="C40" s="81">
        <v>0.26900000000000002</v>
      </c>
      <c r="D40" s="81">
        <v>0.26200000000000001</v>
      </c>
      <c r="E40" s="81">
        <v>0.26</v>
      </c>
      <c r="F40" s="81">
        <v>0.26</v>
      </c>
      <c r="G40" s="81">
        <v>0.26</v>
      </c>
      <c r="H40" s="81">
        <v>0.26</v>
      </c>
      <c r="I40" s="81">
        <v>0.26</v>
      </c>
      <c r="J40" s="47"/>
    </row>
    <row r="41" spans="1:10" s="78" customFormat="1" x14ac:dyDescent="0.3">
      <c r="A41" s="47" t="s">
        <v>77</v>
      </c>
      <c r="B41" s="81">
        <v>0.122</v>
      </c>
      <c r="C41" s="81">
        <v>0.12</v>
      </c>
      <c r="D41" s="81">
        <v>0.124</v>
      </c>
      <c r="E41" s="81">
        <v>0.12</v>
      </c>
      <c r="F41" s="81">
        <v>0.12</v>
      </c>
      <c r="G41" s="81">
        <v>0.12</v>
      </c>
      <c r="H41" s="81">
        <v>0.12</v>
      </c>
      <c r="I41" s="81">
        <v>0.12</v>
      </c>
      <c r="J41" s="47"/>
    </row>
    <row r="42" spans="1:10" s="78" customFormat="1" x14ac:dyDescent="0.3">
      <c r="A42" s="47"/>
      <c r="B42" s="47"/>
      <c r="C42" s="47"/>
      <c r="D42" s="47"/>
      <c r="E42" s="47"/>
      <c r="F42" s="47"/>
      <c r="G42" s="47"/>
      <c r="H42" s="47"/>
      <c r="I42" s="47"/>
      <c r="J42" s="47"/>
    </row>
    <row r="43" spans="1:10" s="78" customFormat="1" x14ac:dyDescent="0.3">
      <c r="A43" s="50" t="s">
        <v>52</v>
      </c>
      <c r="B43" s="47"/>
      <c r="C43" s="47"/>
      <c r="D43" s="47"/>
      <c r="E43" s="47"/>
      <c r="F43" s="47"/>
      <c r="G43" s="47"/>
      <c r="H43" s="47"/>
      <c r="I43" s="47"/>
      <c r="J43" s="47"/>
    </row>
    <row r="44" spans="1:10" s="78" customFormat="1" x14ac:dyDescent="0.3">
      <c r="A44" s="47" t="s">
        <v>45</v>
      </c>
      <c r="B44" s="81">
        <v>0.04</v>
      </c>
      <c r="C44" s="81">
        <v>0.04</v>
      </c>
      <c r="D44" s="81">
        <v>0.04</v>
      </c>
      <c r="E44" s="81">
        <f>+AVERAGE(B44:D44)</f>
        <v>0.04</v>
      </c>
      <c r="F44" s="81">
        <f>+E44</f>
        <v>0.04</v>
      </c>
      <c r="G44" s="81">
        <f>+F44</f>
        <v>0.04</v>
      </c>
      <c r="H44" s="81">
        <f>+G44</f>
        <v>0.04</v>
      </c>
      <c r="I44" s="81">
        <f>+H44</f>
        <v>0.04</v>
      </c>
      <c r="J44" s="47"/>
    </row>
    <row r="45" spans="1:10" s="78" customFormat="1" x14ac:dyDescent="0.3">
      <c r="A45" s="47" t="s">
        <v>46</v>
      </c>
      <c r="B45" s="81">
        <v>6.6000000000000003E-2</v>
      </c>
      <c r="C45" s="81">
        <v>6.3E-2</v>
      </c>
      <c r="D45" s="81">
        <v>6.0999999999999999E-2</v>
      </c>
      <c r="E45" s="81">
        <v>6.2E-2</v>
      </c>
      <c r="F45" s="81">
        <f>+E45</f>
        <v>6.2E-2</v>
      </c>
      <c r="G45" s="81">
        <f>+F45</f>
        <v>6.2E-2</v>
      </c>
      <c r="H45" s="81">
        <f>+G45</f>
        <v>6.2E-2</v>
      </c>
      <c r="I45" s="81">
        <f>+H45</f>
        <v>6.2E-2</v>
      </c>
      <c r="J45" s="47"/>
    </row>
    <row r="46" spans="1:10" s="78" customFormat="1" x14ac:dyDescent="0.3">
      <c r="A46" s="47"/>
      <c r="B46" s="47"/>
      <c r="C46" s="47"/>
      <c r="D46" s="47"/>
      <c r="E46" s="47"/>
      <c r="F46" s="47"/>
      <c r="G46" s="47"/>
      <c r="H46" s="47"/>
      <c r="I46" s="47"/>
      <c r="J46" s="47"/>
    </row>
    <row r="47" spans="1:10" s="78" customFormat="1" x14ac:dyDescent="0.3">
      <c r="A47" s="34"/>
      <c r="B47" s="35">
        <v>42004</v>
      </c>
      <c r="C47" s="35">
        <f>EOMONTH(B47,12)</f>
        <v>42369</v>
      </c>
      <c r="D47" s="35">
        <f>EOMONTH(C47,12)</f>
        <v>42735</v>
      </c>
      <c r="E47" s="36">
        <f>EOMONTH(D47,12)</f>
        <v>43100</v>
      </c>
      <c r="F47" s="36">
        <f>EOMONTH(E47,12)</f>
        <v>43465</v>
      </c>
      <c r="G47" s="36">
        <f>EOMONTH(F47,12)</f>
        <v>43830</v>
      </c>
      <c r="H47" s="36">
        <f>EOMONTH(G47,12)</f>
        <v>44196</v>
      </c>
      <c r="I47" s="36">
        <f>EOMONTH(H47,12)</f>
        <v>44561</v>
      </c>
      <c r="J47" s="47"/>
    </row>
    <row r="48" spans="1:10" s="78" customFormat="1" x14ac:dyDescent="0.3">
      <c r="A48" s="47" t="s">
        <v>47</v>
      </c>
      <c r="B48" s="82">
        <v>3618</v>
      </c>
      <c r="C48" s="38">
        <f>B51</f>
        <v>3874.0107599999997</v>
      </c>
      <c r="D48" s="38">
        <f>C51</f>
        <v>4293.3487805999994</v>
      </c>
      <c r="E48" s="38">
        <f>D51</f>
        <v>4654.1384838107997</v>
      </c>
      <c r="F48" s="38">
        <f>E51</f>
        <v>4847.8490791017121</v>
      </c>
      <c r="G48" s="38">
        <f>F51</f>
        <v>4938.8008157478262</v>
      </c>
      <c r="H48" s="38">
        <f>G51</f>
        <v>4875.2416021386589</v>
      </c>
      <c r="I48" s="38">
        <f>H51</f>
        <v>4789.4944448695651</v>
      </c>
      <c r="J48" s="47"/>
    </row>
    <row r="49" spans="1:10" x14ac:dyDescent="0.3">
      <c r="A49" s="31" t="s">
        <v>48</v>
      </c>
      <c r="B49" s="38">
        <f>-B35*B53</f>
        <v>-98.855640000000008</v>
      </c>
      <c r="C49" s="38">
        <f>-C35*C53</f>
        <v>-102.88590839999999</v>
      </c>
      <c r="D49" s="38">
        <f>-D35*D53</f>
        <v>-122.74288872119999</v>
      </c>
      <c r="E49" s="38">
        <f>-E35*E53</f>
        <v>-152.20118201428798</v>
      </c>
      <c r="F49" s="38">
        <f>-F35*F53</f>
        <v>-176.55337113657404</v>
      </c>
      <c r="G49" s="38">
        <f>-G35*G53</f>
        <v>-208.0119718118182</v>
      </c>
      <c r="H49" s="38">
        <f>-H35*H53</f>
        <v>-238.86708096390456</v>
      </c>
      <c r="I49" s="38">
        <f>-I35*I53</f>
        <v>-253.19910582173884</v>
      </c>
    </row>
    <row r="50" spans="1:10" x14ac:dyDescent="0.3">
      <c r="A50" s="12" t="s">
        <v>106</v>
      </c>
      <c r="B50" s="39">
        <f>B35*B54</f>
        <v>354.86640000000006</v>
      </c>
      <c r="C50" s="39">
        <f>C35*C54</f>
        <v>522.22392900000011</v>
      </c>
      <c r="D50" s="39">
        <f>D35*D54</f>
        <v>483.532591932</v>
      </c>
      <c r="E50" s="39">
        <f>E35*E54</f>
        <v>345.91177730520002</v>
      </c>
      <c r="F50" s="39">
        <f>F35*F54</f>
        <v>267.50510778268801</v>
      </c>
      <c r="G50" s="39">
        <f>G35*G54</f>
        <v>144.45275820265152</v>
      </c>
      <c r="H50" s="39">
        <f>H35*H54</f>
        <v>153.11992369481064</v>
      </c>
      <c r="I50" s="39">
        <f>I35*I54</f>
        <v>162.30711911649928</v>
      </c>
    </row>
    <row r="51" spans="1:10" x14ac:dyDescent="0.3">
      <c r="A51" s="31" t="s">
        <v>49</v>
      </c>
      <c r="B51" s="38">
        <f>SUM(B48:B50)</f>
        <v>3874.0107599999997</v>
      </c>
      <c r="C51" s="38">
        <f>SUM(C48:C50)</f>
        <v>4293.3487805999994</v>
      </c>
      <c r="D51" s="38">
        <f>SUM(D48:D50)</f>
        <v>4654.1384838107997</v>
      </c>
      <c r="E51" s="38">
        <f>SUM(E48:E50)</f>
        <v>4847.8490791017121</v>
      </c>
      <c r="F51" s="38">
        <f>SUM(F48:F50)</f>
        <v>4938.8008157478262</v>
      </c>
      <c r="G51" s="38">
        <f>SUM(G48:G50)</f>
        <v>4875.2416021386589</v>
      </c>
      <c r="H51" s="38">
        <f>SUM(H48:H50)</f>
        <v>4789.4944448695651</v>
      </c>
      <c r="I51" s="38">
        <f>SUM(I48:I50)</f>
        <v>4698.6024581643251</v>
      </c>
      <c r="J51" s="37"/>
    </row>
    <row r="52" spans="1:10" x14ac:dyDescent="0.3">
      <c r="A52" s="31"/>
      <c r="B52" s="31"/>
      <c r="C52" s="31"/>
      <c r="D52" s="31"/>
      <c r="E52" s="31"/>
      <c r="F52" s="31"/>
      <c r="G52" s="31"/>
      <c r="H52" s="31"/>
      <c r="I52" s="31"/>
    </row>
    <row r="53" spans="1:10" s="78" customFormat="1" x14ac:dyDescent="0.3">
      <c r="A53" s="47" t="s">
        <v>98</v>
      </c>
      <c r="B53" s="77">
        <v>1.5599999999999999E-2</v>
      </c>
      <c r="C53" s="77">
        <v>1.3199999999999998E-2</v>
      </c>
      <c r="D53" s="77">
        <v>1.3199999999999998E-2</v>
      </c>
      <c r="E53" s="77">
        <v>1.3199999999999998E-2</v>
      </c>
      <c r="F53" s="77">
        <v>1.3199999999999998E-2</v>
      </c>
      <c r="G53" s="77">
        <v>1.44E-2</v>
      </c>
      <c r="H53" s="77">
        <v>1.5599999999999999E-2</v>
      </c>
      <c r="I53" s="77">
        <v>1.5599999999999999E-2</v>
      </c>
      <c r="J53" s="47"/>
    </row>
    <row r="54" spans="1:10" s="78" customFormat="1" x14ac:dyDescent="0.3">
      <c r="A54" s="47" t="s">
        <v>50</v>
      </c>
      <c r="B54" s="77">
        <v>5.6000000000000001E-2</v>
      </c>
      <c r="C54" s="77">
        <v>6.7000000000000004E-2</v>
      </c>
      <c r="D54" s="77">
        <v>5.1999999999999998E-2</v>
      </c>
      <c r="E54" s="77">
        <v>0.03</v>
      </c>
      <c r="F54" s="77">
        <v>0.02</v>
      </c>
      <c r="G54" s="77">
        <v>0.01</v>
      </c>
      <c r="H54" s="77">
        <v>0.01</v>
      </c>
      <c r="I54" s="77">
        <v>0.01</v>
      </c>
      <c r="J54" s="47"/>
    </row>
    <row r="55" spans="1:10" s="78" customFormat="1" x14ac:dyDescent="0.3">
      <c r="A55" s="47"/>
      <c r="B55" s="77"/>
      <c r="C55" s="77"/>
      <c r="D55" s="77"/>
      <c r="E55" s="77"/>
      <c r="F55" s="77"/>
      <c r="G55" s="77"/>
      <c r="H55" s="77"/>
      <c r="I55" s="77"/>
      <c r="J55" s="47"/>
    </row>
    <row r="56" spans="1:10" s="78" customFormat="1" x14ac:dyDescent="0.3">
      <c r="A56" s="48" t="s">
        <v>93</v>
      </c>
      <c r="B56" s="47"/>
      <c r="C56" s="47"/>
      <c r="D56" s="47"/>
      <c r="E56" s="47"/>
      <c r="F56" s="47"/>
      <c r="G56" s="47"/>
      <c r="H56" s="47"/>
      <c r="I56" s="47"/>
      <c r="J56" s="47"/>
    </row>
    <row r="57" spans="1:10" s="78" customFormat="1" x14ac:dyDescent="0.3">
      <c r="A57" s="34"/>
      <c r="B57" s="35">
        <v>42004</v>
      </c>
      <c r="C57" s="35">
        <f>EOMONTH(B57,12)</f>
        <v>42369</v>
      </c>
      <c r="D57" s="35">
        <f>EOMONTH(C57,12)</f>
        <v>42735</v>
      </c>
      <c r="E57" s="36">
        <f>EOMONTH(D57,12)</f>
        <v>43100</v>
      </c>
      <c r="F57" s="36">
        <f>EOMONTH(E57,12)</f>
        <v>43465</v>
      </c>
      <c r="G57" s="36">
        <f>EOMONTH(F57,12)</f>
        <v>43830</v>
      </c>
      <c r="H57" s="36">
        <f>EOMONTH(G57,12)</f>
        <v>44196</v>
      </c>
      <c r="I57" s="36">
        <f>EOMONTH(H57,12)</f>
        <v>44561</v>
      </c>
      <c r="J57" s="47"/>
    </row>
    <row r="58" spans="1:10" s="78" customFormat="1" x14ac:dyDescent="0.3">
      <c r="A58" s="47" t="s">
        <v>72</v>
      </c>
      <c r="B58" s="38">
        <v>2280</v>
      </c>
      <c r="C58" s="38">
        <f>B61</f>
        <v>2130</v>
      </c>
      <c r="D58" s="38">
        <f>C61</f>
        <v>1980</v>
      </c>
      <c r="E58" s="38">
        <f>D61</f>
        <v>1830</v>
      </c>
      <c r="F58" s="38">
        <f>E61</f>
        <v>1680</v>
      </c>
      <c r="G58" s="38">
        <f>F61</f>
        <v>1530</v>
      </c>
      <c r="H58" s="38">
        <f>G61</f>
        <v>1380</v>
      </c>
      <c r="I58" s="38">
        <f>H61</f>
        <v>1230</v>
      </c>
      <c r="J58" s="47"/>
    </row>
    <row r="59" spans="1:10" s="78" customFormat="1" x14ac:dyDescent="0.3">
      <c r="A59" s="47" t="s">
        <v>68</v>
      </c>
      <c r="B59" s="38">
        <v>0</v>
      </c>
      <c r="C59" s="38">
        <v>0</v>
      </c>
      <c r="D59" s="38">
        <v>0</v>
      </c>
      <c r="E59" s="38">
        <v>0</v>
      </c>
      <c r="F59" s="38">
        <v>0</v>
      </c>
      <c r="G59" s="38">
        <v>0</v>
      </c>
      <c r="H59" s="38">
        <v>0</v>
      </c>
      <c r="I59" s="38">
        <v>0</v>
      </c>
      <c r="J59" s="47"/>
    </row>
    <row r="60" spans="1:10" s="78" customFormat="1" x14ac:dyDescent="0.3">
      <c r="A60" s="42" t="s">
        <v>67</v>
      </c>
      <c r="B60" s="39">
        <f>-B64</f>
        <v>-150</v>
      </c>
      <c r="C60" s="39">
        <f>-B64</f>
        <v>-150</v>
      </c>
      <c r="D60" s="39">
        <f>-C64</f>
        <v>-150</v>
      </c>
      <c r="E60" s="39">
        <f>-D64</f>
        <v>-150</v>
      </c>
      <c r="F60" s="39">
        <f>-E64</f>
        <v>-150</v>
      </c>
      <c r="G60" s="39">
        <f>-F64</f>
        <v>-150</v>
      </c>
      <c r="H60" s="39">
        <f>-G64</f>
        <v>-150</v>
      </c>
      <c r="I60" s="39">
        <f>-H64</f>
        <v>-150</v>
      </c>
      <c r="J60" s="47"/>
    </row>
    <row r="61" spans="1:10" s="78" customFormat="1" x14ac:dyDescent="0.3">
      <c r="A61" s="47" t="s">
        <v>70</v>
      </c>
      <c r="B61" s="38">
        <f>SUM(B58:B60)</f>
        <v>2130</v>
      </c>
      <c r="C61" s="38">
        <f>SUM(C58:C60)</f>
        <v>1980</v>
      </c>
      <c r="D61" s="38">
        <f>SUM(D58:D60)</f>
        <v>1830</v>
      </c>
      <c r="E61" s="38">
        <f>SUM(E58:E60)</f>
        <v>1680</v>
      </c>
      <c r="F61" s="38">
        <f>SUM(F58:F60)</f>
        <v>1530</v>
      </c>
      <c r="G61" s="38">
        <f>SUM(G58:G60)</f>
        <v>1380</v>
      </c>
      <c r="H61" s="38">
        <f>SUM(H58:H60)</f>
        <v>1230</v>
      </c>
      <c r="I61" s="38">
        <f>SUM(I58:I60)</f>
        <v>1080</v>
      </c>
      <c r="J61" s="47"/>
    </row>
    <row r="62" spans="1:10" s="78" customFormat="1" x14ac:dyDescent="0.3">
      <c r="A62" s="47" t="s">
        <v>71</v>
      </c>
      <c r="B62" s="38">
        <f>B61-B64</f>
        <v>1980</v>
      </c>
      <c r="C62" s="38">
        <f>C61-C64</f>
        <v>1830</v>
      </c>
      <c r="D62" s="38">
        <f>D61-D64</f>
        <v>1680</v>
      </c>
      <c r="E62" s="38">
        <f>E61-E64</f>
        <v>1530</v>
      </c>
      <c r="F62" s="38">
        <f>F61-F64</f>
        <v>1380</v>
      </c>
      <c r="G62" s="38">
        <f>G61-G64</f>
        <v>1230</v>
      </c>
      <c r="H62" s="38">
        <f>H61-H64</f>
        <v>1080</v>
      </c>
      <c r="I62" s="38">
        <f>I61-I64</f>
        <v>930</v>
      </c>
      <c r="J62" s="47"/>
    </row>
    <row r="63" spans="1:10" s="78" customFormat="1" x14ac:dyDescent="0.3">
      <c r="A63" s="47"/>
      <c r="B63" s="38"/>
      <c r="C63" s="38"/>
      <c r="D63" s="38"/>
      <c r="E63" s="38"/>
      <c r="F63" s="38"/>
      <c r="G63" s="38"/>
      <c r="H63" s="38"/>
      <c r="I63" s="38"/>
      <c r="J63" s="47"/>
    </row>
    <row r="64" spans="1:10" s="78" customFormat="1" x14ac:dyDescent="0.3">
      <c r="A64" s="47" t="s">
        <v>78</v>
      </c>
      <c r="B64" s="38">
        <v>150</v>
      </c>
      <c r="C64" s="38">
        <v>150</v>
      </c>
      <c r="D64" s="38">
        <v>150</v>
      </c>
      <c r="E64" s="38">
        <v>150</v>
      </c>
      <c r="F64" s="38">
        <v>150</v>
      </c>
      <c r="G64" s="38">
        <v>150</v>
      </c>
      <c r="H64" s="38">
        <v>150</v>
      </c>
      <c r="I64" s="38">
        <v>150</v>
      </c>
      <c r="J64" s="47"/>
    </row>
    <row r="65" spans="1:10" s="78" customFormat="1" x14ac:dyDescent="0.3">
      <c r="A65" s="47"/>
      <c r="B65" s="77"/>
      <c r="C65" s="77"/>
      <c r="D65" s="77"/>
      <c r="E65" s="77"/>
      <c r="F65" s="77"/>
      <c r="G65" s="77"/>
      <c r="H65" s="77"/>
      <c r="I65" s="77"/>
      <c r="J65" s="47"/>
    </row>
    <row r="66" spans="1:10" s="78" customFormat="1" x14ac:dyDescent="0.3">
      <c r="A66" s="47" t="s">
        <v>73</v>
      </c>
      <c r="B66" s="77">
        <v>5.5E-2</v>
      </c>
      <c r="C66" s="77">
        <v>5.5E-2</v>
      </c>
      <c r="D66" s="77">
        <v>5.5E-2</v>
      </c>
      <c r="E66" s="77">
        <v>5.5E-2</v>
      </c>
      <c r="F66" s="77">
        <v>5.5E-2</v>
      </c>
      <c r="G66" s="77">
        <v>5.5E-2</v>
      </c>
      <c r="H66" s="77">
        <v>5.5E-2</v>
      </c>
      <c r="I66" s="77">
        <v>5.5E-2</v>
      </c>
      <c r="J66" s="47"/>
    </row>
    <row r="67" spans="1:10" s="78" customFormat="1" x14ac:dyDescent="0.3">
      <c r="A67" s="47" t="s">
        <v>69</v>
      </c>
      <c r="B67" s="38">
        <f>(B58+B16-'Exhibit 3'!B21)*B66</f>
        <v>247.5</v>
      </c>
      <c r="C67" s="38">
        <f>(C58+B16)*C66</f>
        <v>283.25</v>
      </c>
      <c r="D67" s="38">
        <f>(D58+C16)*D66</f>
        <v>322.3</v>
      </c>
      <c r="E67" s="38">
        <f>(E58+D16)*E66</f>
        <v>352.55</v>
      </c>
      <c r="F67" s="38">
        <f>(F58+E16)*F66</f>
        <v>371.8</v>
      </c>
      <c r="G67" s="38">
        <f>(G58+F16)*G66</f>
        <v>371.8</v>
      </c>
      <c r="H67" s="38">
        <f>(H58+G16)*H66</f>
        <v>347.05</v>
      </c>
      <c r="I67" s="38">
        <f>(I58+H16)*I66</f>
        <v>316.8</v>
      </c>
      <c r="J67" s="47"/>
    </row>
    <row r="68" spans="1:10" s="78" customFormat="1" x14ac:dyDescent="0.3">
      <c r="A68" s="47"/>
      <c r="B68" s="77"/>
      <c r="C68" s="77"/>
      <c r="D68" s="77"/>
      <c r="E68" s="77"/>
      <c r="F68" s="77"/>
      <c r="G68" s="77"/>
      <c r="H68" s="77"/>
      <c r="I68" s="77"/>
      <c r="J68" s="47"/>
    </row>
    <row r="69" spans="1:10" s="78" customFormat="1" x14ac:dyDescent="0.3">
      <c r="A69" s="48" t="s">
        <v>60</v>
      </c>
      <c r="B69" s="47"/>
      <c r="C69" s="47"/>
      <c r="D69" s="47"/>
      <c r="E69" s="47"/>
      <c r="F69" s="47"/>
      <c r="G69" s="47"/>
      <c r="H69" s="47"/>
      <c r="I69" s="47"/>
      <c r="J69" s="47"/>
    </row>
    <row r="70" spans="1:10" s="78" customFormat="1" x14ac:dyDescent="0.3">
      <c r="A70" s="34"/>
      <c r="B70" s="35">
        <v>42004</v>
      </c>
      <c r="C70" s="35">
        <f>EOMONTH(B70,12)</f>
        <v>42369</v>
      </c>
      <c r="D70" s="35">
        <f>EOMONTH(C70,12)</f>
        <v>42735</v>
      </c>
      <c r="E70" s="36">
        <f>EOMONTH(D70,12)</f>
        <v>43100</v>
      </c>
      <c r="F70" s="36">
        <f>EOMONTH(E70,12)</f>
        <v>43465</v>
      </c>
      <c r="G70" s="36">
        <f>EOMONTH(F70,12)</f>
        <v>43830</v>
      </c>
      <c r="H70" s="36">
        <f>EOMONTH(G70,12)</f>
        <v>44196</v>
      </c>
      <c r="I70" s="36">
        <f>EOMONTH(H70,12)</f>
        <v>44561</v>
      </c>
      <c r="J70" s="47"/>
    </row>
    <row r="71" spans="1:10" s="78" customFormat="1" x14ac:dyDescent="0.3">
      <c r="A71" s="47" t="s">
        <v>61</v>
      </c>
      <c r="B71" s="38">
        <v>515.75216399999999</v>
      </c>
      <c r="C71" s="38">
        <f>B74</f>
        <v>351.90000000000003</v>
      </c>
      <c r="D71" s="38">
        <f>C74</f>
        <v>360.66617651000018</v>
      </c>
      <c r="E71" s="38">
        <f>D74</f>
        <v>406.24451359182979</v>
      </c>
      <c r="F71" s="38">
        <f>E74</f>
        <v>527.8957385222792</v>
      </c>
      <c r="G71" s="38">
        <f>F74</f>
        <v>590.11921044584381</v>
      </c>
      <c r="H71" s="38">
        <f>G74</f>
        <v>624.04955831699988</v>
      </c>
      <c r="I71" s="38">
        <f>H74</f>
        <v>658.31486518083818</v>
      </c>
      <c r="J71" s="47"/>
    </row>
    <row r="72" spans="1:10" s="78" customFormat="1" x14ac:dyDescent="0.3">
      <c r="A72" s="47" t="s">
        <v>62</v>
      </c>
      <c r="B72" s="38">
        <f>'Exhibit 2'!B15</f>
        <v>131.61783600000001</v>
      </c>
      <c r="C72" s="38">
        <f>'Exhibit 2'!C15</f>
        <v>140.38401251000016</v>
      </c>
      <c r="D72" s="38">
        <f>'Exhibit 2'!D15</f>
        <v>185.96234959182979</v>
      </c>
      <c r="E72" s="38">
        <f>'Exhibit 2'!E15</f>
        <v>307.61357452227924</v>
      </c>
      <c r="F72" s="38">
        <f>'Exhibit 2'!F15</f>
        <v>369.83704644584384</v>
      </c>
      <c r="G72" s="38">
        <f>'Exhibit 2'!G15</f>
        <v>403.76739431699991</v>
      </c>
      <c r="H72" s="38">
        <f>'Exhibit 2'!H15</f>
        <v>438.0327011808381</v>
      </c>
      <c r="I72" s="38">
        <f>'Exhibit 2'!I15</f>
        <v>482.19021325168791</v>
      </c>
      <c r="J72" s="47"/>
    </row>
    <row r="73" spans="1:10" s="78" customFormat="1" x14ac:dyDescent="0.3">
      <c r="A73" s="42" t="s">
        <v>63</v>
      </c>
      <c r="B73" s="39">
        <v>295.46999999999997</v>
      </c>
      <c r="C73" s="39">
        <f>C76*'Exhibit 2'!B13</f>
        <v>131.61783600000001</v>
      </c>
      <c r="D73" s="39">
        <f>D76*'Exhibit 2'!C13</f>
        <v>140.38401251000016</v>
      </c>
      <c r="E73" s="39">
        <f>E76*'Exhibit 2'!D13</f>
        <v>185.96234959182979</v>
      </c>
      <c r="F73" s="39">
        <f>F76*'Exhibit 2'!E13</f>
        <v>307.61357452227924</v>
      </c>
      <c r="G73" s="39">
        <f>G76*'Exhibit 2'!F13</f>
        <v>369.83704644584384</v>
      </c>
      <c r="H73" s="39">
        <f>H76*'Exhibit 2'!G13</f>
        <v>403.76739431699991</v>
      </c>
      <c r="I73" s="39">
        <f>I76*'Exhibit 2'!H13</f>
        <v>438.0327011808381</v>
      </c>
      <c r="J73" s="47"/>
    </row>
    <row r="74" spans="1:10" s="78" customFormat="1" x14ac:dyDescent="0.3">
      <c r="A74" s="47" t="s">
        <v>64</v>
      </c>
      <c r="B74" s="38">
        <f>B71+B72-B73</f>
        <v>351.90000000000003</v>
      </c>
      <c r="C74" s="38">
        <f>C71+C72-C73</f>
        <v>360.66617651000018</v>
      </c>
      <c r="D74" s="38">
        <f>D71+D72-D73</f>
        <v>406.24451359182979</v>
      </c>
      <c r="E74" s="38">
        <f>E71+E72-E73</f>
        <v>527.8957385222792</v>
      </c>
      <c r="F74" s="38">
        <f>F71+F72-F73</f>
        <v>590.11921044584381</v>
      </c>
      <c r="G74" s="38">
        <f>G71+G72-G73</f>
        <v>624.04955831699988</v>
      </c>
      <c r="H74" s="38">
        <f>H71+H72-H73</f>
        <v>658.31486518083818</v>
      </c>
      <c r="I74" s="38">
        <f>I71+I72-I73</f>
        <v>702.47237725168793</v>
      </c>
      <c r="J74" s="47"/>
    </row>
    <row r="75" spans="1:10" s="78" customFormat="1" x14ac:dyDescent="0.3">
      <c r="A75" s="47"/>
      <c r="B75" s="47"/>
      <c r="C75" s="47"/>
      <c r="D75" s="47"/>
      <c r="E75" s="38"/>
      <c r="F75" s="47"/>
      <c r="G75" s="47"/>
      <c r="H75" s="47"/>
      <c r="I75" s="47"/>
      <c r="J75" s="47"/>
    </row>
    <row r="76" spans="1:10" s="78" customFormat="1" x14ac:dyDescent="0.3">
      <c r="A76" s="52" t="s">
        <v>65</v>
      </c>
      <c r="B76" s="77">
        <v>0.35</v>
      </c>
      <c r="C76" s="77">
        <v>0.35</v>
      </c>
      <c r="D76" s="77">
        <v>0.35</v>
      </c>
      <c r="E76" s="77">
        <v>0.35</v>
      </c>
      <c r="F76" s="77">
        <v>0.35</v>
      </c>
      <c r="G76" s="77">
        <v>0.35</v>
      </c>
      <c r="H76" s="77">
        <v>0.35</v>
      </c>
      <c r="I76" s="77">
        <v>0.35</v>
      </c>
      <c r="J76" s="47"/>
    </row>
    <row r="114" spans="10:10" ht="12" x14ac:dyDescent="0.3">
      <c r="J114" s="5"/>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35"/>
  <sheetViews>
    <sheetView showGridLines="0" zoomScale="120" zoomScaleNormal="120" workbookViewId="0">
      <selection activeCell="D7" sqref="D7"/>
    </sheetView>
  </sheetViews>
  <sheetFormatPr defaultColWidth="11" defaultRowHeight="12" x14ac:dyDescent="0.3"/>
  <cols>
    <col min="1" max="1" width="30.25" style="1" customWidth="1"/>
    <col min="2" max="4" width="6.08203125" style="1" bestFit="1" customWidth="1"/>
    <col min="5" max="9" width="6.9140625" style="1" bestFit="1" customWidth="1"/>
    <col min="10" max="10" width="11" style="5"/>
    <col min="11" max="16384" width="11" style="1"/>
  </cols>
  <sheetData>
    <row r="1" spans="1:11" ht="13" x14ac:dyDescent="0.3">
      <c r="A1" s="60" t="s">
        <v>124</v>
      </c>
      <c r="B1" s="52"/>
      <c r="C1" s="52"/>
      <c r="D1" s="52"/>
      <c r="E1" s="52"/>
      <c r="F1" s="52"/>
      <c r="G1" s="52"/>
      <c r="H1" s="52"/>
      <c r="I1" s="52"/>
      <c r="J1" s="31"/>
      <c r="K1" s="31"/>
    </row>
    <row r="2" spans="1:11" ht="13" x14ac:dyDescent="0.3">
      <c r="A2" s="60" t="s">
        <v>132</v>
      </c>
      <c r="B2" s="52"/>
      <c r="C2" s="52"/>
      <c r="D2" s="52"/>
      <c r="E2" s="52"/>
      <c r="F2" s="52"/>
      <c r="G2" s="52"/>
      <c r="H2" s="52"/>
      <c r="I2" s="52"/>
      <c r="J2" s="31"/>
      <c r="K2" s="31"/>
    </row>
    <row r="3" spans="1:11" ht="13" x14ac:dyDescent="0.3">
      <c r="A3" s="41"/>
      <c r="B3" s="42"/>
      <c r="C3" s="42"/>
      <c r="D3" s="42"/>
      <c r="E3" s="42"/>
      <c r="F3" s="42"/>
      <c r="G3" s="42"/>
      <c r="H3" s="42"/>
      <c r="I3" s="42"/>
      <c r="J3" s="31"/>
      <c r="K3" s="31"/>
    </row>
    <row r="4" spans="1:11" ht="13" x14ac:dyDescent="0.3">
      <c r="A4" s="41"/>
      <c r="B4" s="13">
        <v>42004</v>
      </c>
      <c r="C4" s="13">
        <f>EOMONTH(B4,12)</f>
        <v>42369</v>
      </c>
      <c r="D4" s="13">
        <f>EOMONTH(C4,12)</f>
        <v>42735</v>
      </c>
      <c r="E4" s="14">
        <f>EOMONTH(D4,12)</f>
        <v>43100</v>
      </c>
      <c r="F4" s="14">
        <f>EOMONTH(E4,12)</f>
        <v>43465</v>
      </c>
      <c r="G4" s="14">
        <f>EOMONTH(F4,12)</f>
        <v>43830</v>
      </c>
      <c r="H4" s="14">
        <f>EOMONTH(G4,12)</f>
        <v>44196</v>
      </c>
      <c r="I4" s="14">
        <f>EOMONTH(H4,12)</f>
        <v>44561</v>
      </c>
      <c r="J4" s="31"/>
      <c r="K4" s="31"/>
    </row>
    <row r="5" spans="1:11" ht="13" x14ac:dyDescent="0.3">
      <c r="A5" s="31" t="s">
        <v>3</v>
      </c>
      <c r="B5" s="37">
        <v>6336.9000000000005</v>
      </c>
      <c r="C5" s="37">
        <f>B5*(1+C26)</f>
        <v>7794.3870000000006</v>
      </c>
      <c r="D5" s="37">
        <f>C5*(1+D26)</f>
        <v>9298.7036910000006</v>
      </c>
      <c r="E5" s="37">
        <f>D5*(1+E26)</f>
        <v>11530.39257684</v>
      </c>
      <c r="F5" s="37">
        <f>E5*(1+F26)</f>
        <v>13375.2553891344</v>
      </c>
      <c r="G5" s="37">
        <f>F5*(1+G26)</f>
        <v>14445.275820265153</v>
      </c>
      <c r="H5" s="37">
        <f>G5*(1+H26)</f>
        <v>15311.992369481062</v>
      </c>
      <c r="I5" s="37">
        <f>H5*(1+I26)</f>
        <v>16230.711911649927</v>
      </c>
      <c r="J5" s="31"/>
      <c r="K5" s="31"/>
    </row>
    <row r="6" spans="1:11" ht="13" x14ac:dyDescent="0.3">
      <c r="A6" s="12" t="s">
        <v>4</v>
      </c>
      <c r="B6" s="40">
        <f>B5*B29</f>
        <v>2686.8456000000001</v>
      </c>
      <c r="C6" s="40">
        <f>C5*C29</f>
        <v>3359.3807970000003</v>
      </c>
      <c r="D6" s="40">
        <f>D5*D29</f>
        <v>4035.637401894</v>
      </c>
      <c r="E6" s="40">
        <f>E5*E29</f>
        <v>4958.0688080412001</v>
      </c>
      <c r="F6" s="40">
        <f>F5*F29</f>
        <v>5751.3598173277915</v>
      </c>
      <c r="G6" s="40">
        <f>G5*G29</f>
        <v>6211.468602714016</v>
      </c>
      <c r="H6" s="40">
        <f>H5*H29</f>
        <v>6584.1567188768568</v>
      </c>
      <c r="I6" s="40">
        <f>I5*I29</f>
        <v>6979.2061220094683</v>
      </c>
      <c r="J6" s="31" t="s">
        <v>107</v>
      </c>
      <c r="K6" s="31"/>
    </row>
    <row r="7" spans="1:11" ht="13" x14ac:dyDescent="0.3">
      <c r="A7" s="31" t="s">
        <v>5</v>
      </c>
      <c r="B7" s="37">
        <f>B5-B6</f>
        <v>3650.0544000000004</v>
      </c>
      <c r="C7" s="37">
        <f>C5-C6</f>
        <v>4435.0062030000008</v>
      </c>
      <c r="D7" s="37">
        <f>D5-D6</f>
        <v>5263.0662891060001</v>
      </c>
      <c r="E7" s="37">
        <f>E5-E6</f>
        <v>6572.3237687988003</v>
      </c>
      <c r="F7" s="37">
        <f>F5-F6</f>
        <v>7623.8955718066081</v>
      </c>
      <c r="G7" s="37">
        <f>G5-G6</f>
        <v>8233.807217551137</v>
      </c>
      <c r="H7" s="37">
        <f>H5-H6</f>
        <v>8727.8356506042055</v>
      </c>
      <c r="I7" s="37">
        <f>I5-I6</f>
        <v>9251.5057896404578</v>
      </c>
      <c r="J7" s="31"/>
      <c r="K7" s="31"/>
    </row>
    <row r="8" spans="1:11" ht="13" x14ac:dyDescent="0.3">
      <c r="A8" s="31"/>
      <c r="B8" s="31"/>
      <c r="C8" s="31"/>
      <c r="D8" s="31"/>
      <c r="E8" s="31"/>
      <c r="F8" s="31"/>
      <c r="G8" s="31"/>
      <c r="H8" s="31"/>
      <c r="I8" s="31"/>
      <c r="J8" s="31"/>
      <c r="K8" s="31"/>
    </row>
    <row r="9" spans="1:11" ht="13" x14ac:dyDescent="0.3">
      <c r="A9" s="15" t="s">
        <v>6</v>
      </c>
      <c r="B9" s="37">
        <f>B5*B30</f>
        <v>2230.5888</v>
      </c>
      <c r="C9" s="37">
        <f>C5*C30</f>
        <v>2790.3905460000001</v>
      </c>
      <c r="D9" s="37">
        <f>D5*D30</f>
        <v>3263.8449955410001</v>
      </c>
      <c r="E9" s="37">
        <f>E5*E30</f>
        <v>4035.637401894</v>
      </c>
      <c r="F9" s="37">
        <f>F5*F30</f>
        <v>4681.3393861970399</v>
      </c>
      <c r="G9" s="37">
        <f>G5*G30</f>
        <v>5055.8465370928034</v>
      </c>
      <c r="H9" s="37">
        <f>H5*H30</f>
        <v>5359.1973293183719</v>
      </c>
      <c r="I9" s="37">
        <f>I5*I30</f>
        <v>5680.7491690774741</v>
      </c>
      <c r="J9" s="31" t="s">
        <v>112</v>
      </c>
      <c r="K9" s="31"/>
    </row>
    <row r="10" spans="1:11" ht="13" x14ac:dyDescent="0.3">
      <c r="A10" s="31" t="s">
        <v>8</v>
      </c>
      <c r="B10" s="37">
        <f>B5*B31</f>
        <v>697.05900000000008</v>
      </c>
      <c r="C10" s="37">
        <f>C5*C31</f>
        <v>857.3825700000001</v>
      </c>
      <c r="D10" s="37">
        <f>D5*D31</f>
        <v>1022.8574060100001</v>
      </c>
      <c r="E10" s="37">
        <f>E5*E31</f>
        <v>1153.0392576840002</v>
      </c>
      <c r="F10" s="37">
        <f>F5*F31</f>
        <v>1337.52553891344</v>
      </c>
      <c r="G10" s="37">
        <f>G5*G31</f>
        <v>1444.5275820265153</v>
      </c>
      <c r="H10" s="37">
        <f>H5*H31</f>
        <v>1531.1992369481063</v>
      </c>
      <c r="I10" s="37">
        <f>I5*I31</f>
        <v>1623.0711911649928</v>
      </c>
      <c r="J10" s="31" t="s">
        <v>102</v>
      </c>
      <c r="K10" s="31"/>
    </row>
    <row r="11" spans="1:11" ht="13" x14ac:dyDescent="0.3">
      <c r="A11" s="31" t="s">
        <v>7</v>
      </c>
      <c r="B11" s="37">
        <f>-'Exhibit 1'!B49</f>
        <v>98.855640000000008</v>
      </c>
      <c r="C11" s="37">
        <f>-'Exhibit 1'!C49</f>
        <v>102.88590839999999</v>
      </c>
      <c r="D11" s="37">
        <f>-'Exhibit 1'!D49</f>
        <v>122.74288872119999</v>
      </c>
      <c r="E11" s="37">
        <f>-'Exhibit 1'!E49</f>
        <v>152.20118201428798</v>
      </c>
      <c r="F11" s="37">
        <f>-'Exhibit 1'!F49</f>
        <v>176.55337113657404</v>
      </c>
      <c r="G11" s="37">
        <f>-'Exhibit 1'!G49</f>
        <v>208.0119718118182</v>
      </c>
      <c r="H11" s="37">
        <f>-'Exhibit 1'!H49</f>
        <v>238.86708096390456</v>
      </c>
      <c r="I11" s="37">
        <f>-'Exhibit 1'!I49</f>
        <v>253.19910582173884</v>
      </c>
      <c r="J11" s="31"/>
      <c r="K11" s="31"/>
    </row>
    <row r="12" spans="1:11" ht="15" x14ac:dyDescent="0.3">
      <c r="A12" s="11" t="s">
        <v>122</v>
      </c>
      <c r="B12" s="40">
        <f>'Exhibit 1'!B67</f>
        <v>247.5</v>
      </c>
      <c r="C12" s="40">
        <f>'Exhibit 1'!C67</f>
        <v>283.25</v>
      </c>
      <c r="D12" s="40">
        <f>'Exhibit 1'!D67</f>
        <v>322.3</v>
      </c>
      <c r="E12" s="40">
        <f>'Exhibit 1'!E67</f>
        <v>352.55</v>
      </c>
      <c r="F12" s="40">
        <f>'Exhibit 1'!F67</f>
        <v>371.8</v>
      </c>
      <c r="G12" s="40">
        <f>'Exhibit 1'!G67</f>
        <v>371.8</v>
      </c>
      <c r="H12" s="40">
        <f>'Exhibit 1'!H67</f>
        <v>347.05</v>
      </c>
      <c r="I12" s="40">
        <f>'Exhibit 1'!I67</f>
        <v>316.8</v>
      </c>
      <c r="J12" s="31"/>
      <c r="K12" s="31"/>
    </row>
    <row r="13" spans="1:11" ht="13" x14ac:dyDescent="0.3">
      <c r="A13" s="31" t="s">
        <v>9</v>
      </c>
      <c r="B13" s="37">
        <f>B7-SUM(B9:B12)</f>
        <v>376.05096000000003</v>
      </c>
      <c r="C13" s="37">
        <f>C7-SUM(C9:C12)</f>
        <v>401.09717860000046</v>
      </c>
      <c r="D13" s="37">
        <f>D7-SUM(D9:D12)</f>
        <v>531.32099883379942</v>
      </c>
      <c r="E13" s="37">
        <f>E7-SUM(E9:E12)</f>
        <v>878.89592720651217</v>
      </c>
      <c r="F13" s="37">
        <f>F7-SUM(F9:F12)</f>
        <v>1056.6772755595539</v>
      </c>
      <c r="G13" s="37">
        <f>G7-SUM(G9:G12)</f>
        <v>1153.6211266199998</v>
      </c>
      <c r="H13" s="37">
        <f>H7-SUM(H9:H12)</f>
        <v>1251.5220033738233</v>
      </c>
      <c r="I13" s="37">
        <f>I7-SUM(I9:I12)</f>
        <v>1377.6863235762512</v>
      </c>
      <c r="J13" s="31"/>
      <c r="K13" s="31"/>
    </row>
    <row r="14" spans="1:11" ht="13" x14ac:dyDescent="0.3">
      <c r="A14" s="31"/>
      <c r="B14" s="43"/>
      <c r="C14" s="43"/>
      <c r="D14" s="43"/>
      <c r="E14" s="43"/>
      <c r="F14" s="43"/>
      <c r="G14" s="43"/>
      <c r="H14" s="43"/>
      <c r="I14" s="43"/>
      <c r="J14" s="31"/>
      <c r="K14" s="31"/>
    </row>
    <row r="15" spans="1:11" ht="13" x14ac:dyDescent="0.3">
      <c r="A15" s="12" t="s">
        <v>10</v>
      </c>
      <c r="B15" s="40">
        <f>B13*B34</f>
        <v>131.61783600000001</v>
      </c>
      <c r="C15" s="40">
        <f>C13*C34</f>
        <v>140.38401251000016</v>
      </c>
      <c r="D15" s="40">
        <f>D13*D34</f>
        <v>185.96234959182979</v>
      </c>
      <c r="E15" s="40">
        <f>E13*E34</f>
        <v>307.61357452227924</v>
      </c>
      <c r="F15" s="40">
        <f>F13*F34</f>
        <v>369.83704644584384</v>
      </c>
      <c r="G15" s="40">
        <f>G13*G34</f>
        <v>403.76739431699991</v>
      </c>
      <c r="H15" s="40">
        <f>H13*H34</f>
        <v>438.0327011808381</v>
      </c>
      <c r="I15" s="40">
        <f>I13*I34</f>
        <v>482.19021325168791</v>
      </c>
      <c r="J15" s="31" t="s">
        <v>53</v>
      </c>
      <c r="K15" s="31"/>
    </row>
    <row r="16" spans="1:11" ht="13" x14ac:dyDescent="0.3">
      <c r="A16" s="20" t="s">
        <v>11</v>
      </c>
      <c r="B16" s="37">
        <f>B13-B15</f>
        <v>244.43312400000002</v>
      </c>
      <c r="C16" s="37">
        <f>C13-C15</f>
        <v>260.7131660900003</v>
      </c>
      <c r="D16" s="37">
        <f>D13-D15</f>
        <v>345.3586492419696</v>
      </c>
      <c r="E16" s="37">
        <f>E13-E15</f>
        <v>571.28235268423293</v>
      </c>
      <c r="F16" s="37">
        <f>F13-F15</f>
        <v>686.84022911371005</v>
      </c>
      <c r="G16" s="37">
        <f>G13-G15</f>
        <v>749.8537323029999</v>
      </c>
      <c r="H16" s="37">
        <f>H13-H15</f>
        <v>813.48930219298518</v>
      </c>
      <c r="I16" s="37">
        <f>I13-I15</f>
        <v>895.49611032456323</v>
      </c>
      <c r="J16" s="31"/>
      <c r="K16" s="31"/>
    </row>
    <row r="17" spans="1:11" ht="13" x14ac:dyDescent="0.3">
      <c r="A17" s="31"/>
      <c r="B17" s="43"/>
      <c r="C17" s="43"/>
      <c r="D17" s="43"/>
      <c r="E17" s="43"/>
      <c r="F17" s="43"/>
      <c r="G17" s="43"/>
      <c r="H17" s="43"/>
      <c r="I17" s="43"/>
      <c r="J17" s="31"/>
      <c r="K17" s="31"/>
    </row>
    <row r="18" spans="1:11" ht="13" x14ac:dyDescent="0.3">
      <c r="A18" s="20" t="s">
        <v>99</v>
      </c>
      <c r="B18" s="43">
        <v>1500</v>
      </c>
      <c r="C18" s="43">
        <v>1500</v>
      </c>
      <c r="D18" s="43">
        <v>1500</v>
      </c>
      <c r="E18" s="43">
        <v>1500</v>
      </c>
      <c r="F18" s="43">
        <v>1500</v>
      </c>
      <c r="G18" s="43">
        <v>1500</v>
      </c>
      <c r="H18" s="43">
        <v>1500</v>
      </c>
      <c r="I18" s="43">
        <v>1500</v>
      </c>
      <c r="J18" s="31"/>
      <c r="K18" s="31"/>
    </row>
    <row r="19" spans="1:11" ht="13" x14ac:dyDescent="0.3">
      <c r="A19" s="20" t="s">
        <v>120</v>
      </c>
      <c r="B19" s="44">
        <f>B16/B18</f>
        <v>0.16295541600000002</v>
      </c>
      <c r="C19" s="44">
        <f>C16/C18</f>
        <v>0.17380877739333353</v>
      </c>
      <c r="D19" s="44">
        <f>D16/D18</f>
        <v>0.23023909949464641</v>
      </c>
      <c r="E19" s="44">
        <f>E16/E18</f>
        <v>0.38085490178948861</v>
      </c>
      <c r="F19" s="44">
        <f>F16/F18</f>
        <v>0.45789348607580671</v>
      </c>
      <c r="G19" s="44">
        <f>G16/G18</f>
        <v>0.49990248820199995</v>
      </c>
      <c r="H19" s="44">
        <f>H16/H18</f>
        <v>0.54232620146199007</v>
      </c>
      <c r="I19" s="44">
        <f>I16/I18</f>
        <v>0.59699740688304215</v>
      </c>
      <c r="J19" s="31"/>
      <c r="K19" s="31"/>
    </row>
    <row r="20" spans="1:11" ht="13" x14ac:dyDescent="0.3">
      <c r="A20" s="12" t="s">
        <v>12</v>
      </c>
      <c r="B20" s="45">
        <v>0</v>
      </c>
      <c r="C20" s="45">
        <v>0</v>
      </c>
      <c r="D20" s="45">
        <v>0</v>
      </c>
      <c r="E20" s="45">
        <v>0</v>
      </c>
      <c r="F20" s="45">
        <v>0</v>
      </c>
      <c r="G20" s="45">
        <v>0</v>
      </c>
      <c r="H20" s="45">
        <v>0</v>
      </c>
      <c r="I20" s="45">
        <v>0</v>
      </c>
      <c r="J20" s="31"/>
      <c r="K20" s="31"/>
    </row>
    <row r="21" spans="1:11" ht="15" x14ac:dyDescent="0.3">
      <c r="A21" s="46" t="s">
        <v>123</v>
      </c>
      <c r="B21" s="44"/>
      <c r="C21" s="44"/>
      <c r="D21" s="44"/>
      <c r="E21" s="43"/>
      <c r="F21" s="43"/>
      <c r="G21" s="43"/>
      <c r="H21" s="43"/>
      <c r="I21" s="43"/>
      <c r="J21" s="31"/>
      <c r="K21" s="31"/>
    </row>
    <row r="22" spans="1:11" ht="13" x14ac:dyDescent="0.3">
      <c r="A22" s="47"/>
      <c r="B22" s="43"/>
      <c r="C22" s="43"/>
      <c r="D22" s="43"/>
      <c r="E22" s="43"/>
      <c r="F22" s="43"/>
      <c r="G22" s="43"/>
      <c r="H22" s="43"/>
      <c r="I22" s="43"/>
      <c r="J22" s="31"/>
      <c r="K22" s="31"/>
    </row>
    <row r="23" spans="1:11" ht="13" x14ac:dyDescent="0.3">
      <c r="A23" s="30" t="s">
        <v>115</v>
      </c>
      <c r="B23" s="43"/>
      <c r="C23" s="43"/>
      <c r="D23" s="43"/>
      <c r="E23" s="43"/>
      <c r="F23" s="43"/>
      <c r="G23" s="43"/>
      <c r="H23" s="43"/>
      <c r="I23" s="43"/>
      <c r="J23" s="31"/>
      <c r="K23" s="31"/>
    </row>
    <row r="24" spans="1:11" ht="13" x14ac:dyDescent="0.3">
      <c r="A24" s="48" t="s">
        <v>42</v>
      </c>
      <c r="B24" s="43"/>
      <c r="C24" s="43"/>
      <c r="D24" s="43"/>
      <c r="E24" s="43"/>
      <c r="F24" s="43"/>
      <c r="G24" s="43"/>
      <c r="H24" s="43"/>
      <c r="I24" s="43"/>
      <c r="J24" s="31"/>
      <c r="K24" s="31"/>
    </row>
    <row r="25" spans="1:11" ht="13" x14ac:dyDescent="0.3">
      <c r="A25" s="49"/>
      <c r="B25" s="35">
        <v>42004</v>
      </c>
      <c r="C25" s="35">
        <f>EOMONTH(B25,12)</f>
        <v>42369</v>
      </c>
      <c r="D25" s="35">
        <f>EOMONTH(C25,12)</f>
        <v>42735</v>
      </c>
      <c r="E25" s="36">
        <f>EOMONTH(D25,12)</f>
        <v>43100</v>
      </c>
      <c r="F25" s="36">
        <f>EOMONTH(E25,12)</f>
        <v>43465</v>
      </c>
      <c r="G25" s="36">
        <f>EOMONTH(F25,12)</f>
        <v>43830</v>
      </c>
      <c r="H25" s="36">
        <f>EOMONTH(G25,12)</f>
        <v>44196</v>
      </c>
      <c r="I25" s="36">
        <f>EOMONTH(H25,12)</f>
        <v>44561</v>
      </c>
      <c r="J25" s="31"/>
      <c r="K25" s="31"/>
    </row>
    <row r="26" spans="1:11" ht="13" x14ac:dyDescent="0.3">
      <c r="A26" s="47" t="s">
        <v>40</v>
      </c>
      <c r="B26" s="83"/>
      <c r="C26" s="77">
        <v>0.23</v>
      </c>
      <c r="D26" s="77">
        <v>0.193</v>
      </c>
      <c r="E26" s="77">
        <v>0.24</v>
      </c>
      <c r="F26" s="77">
        <v>0.16</v>
      </c>
      <c r="G26" s="77">
        <v>0.08</v>
      </c>
      <c r="H26" s="77">
        <v>0.06</v>
      </c>
      <c r="I26" s="77">
        <v>0.06</v>
      </c>
      <c r="J26" s="47"/>
      <c r="K26" s="47"/>
    </row>
    <row r="27" spans="1:11" ht="13" x14ac:dyDescent="0.3">
      <c r="A27" s="47"/>
      <c r="B27" s="84"/>
      <c r="C27" s="84"/>
      <c r="D27" s="84"/>
      <c r="E27" s="84"/>
      <c r="F27" s="84"/>
      <c r="G27" s="84"/>
      <c r="H27" s="84"/>
      <c r="I27" s="84"/>
      <c r="J27" s="47"/>
      <c r="K27" s="47"/>
    </row>
    <row r="28" spans="1:11" ht="13" x14ac:dyDescent="0.3">
      <c r="A28" s="50" t="s">
        <v>39</v>
      </c>
      <c r="B28" s="84"/>
      <c r="C28" s="84"/>
      <c r="D28" s="84"/>
      <c r="E28" s="84"/>
      <c r="F28" s="84"/>
      <c r="G28" s="84"/>
      <c r="H28" s="84"/>
      <c r="I28" s="84"/>
      <c r="J28" s="47"/>
      <c r="K28" s="47"/>
    </row>
    <row r="29" spans="1:11" ht="13" x14ac:dyDescent="0.3">
      <c r="A29" s="47" t="s">
        <v>4</v>
      </c>
      <c r="B29" s="77">
        <v>0.42399999999999999</v>
      </c>
      <c r="C29" s="77">
        <v>0.43099999999999999</v>
      </c>
      <c r="D29" s="77">
        <v>0.434</v>
      </c>
      <c r="E29" s="77">
        <v>0.43</v>
      </c>
      <c r="F29" s="77">
        <v>0.43</v>
      </c>
      <c r="G29" s="77">
        <v>0.43</v>
      </c>
      <c r="H29" s="77">
        <v>0.43</v>
      </c>
      <c r="I29" s="77">
        <v>0.43</v>
      </c>
      <c r="J29" s="47"/>
      <c r="K29" s="47"/>
    </row>
    <row r="30" spans="1:11" ht="13" x14ac:dyDescent="0.3">
      <c r="A30" s="51" t="s">
        <v>6</v>
      </c>
      <c r="B30" s="77">
        <v>0.35199999999999998</v>
      </c>
      <c r="C30" s="77">
        <v>0.35799999999999998</v>
      </c>
      <c r="D30" s="77">
        <v>0.35099999999999998</v>
      </c>
      <c r="E30" s="77">
        <v>0.35</v>
      </c>
      <c r="F30" s="77">
        <v>0.35</v>
      </c>
      <c r="G30" s="77">
        <v>0.35</v>
      </c>
      <c r="H30" s="77">
        <v>0.35</v>
      </c>
      <c r="I30" s="77">
        <v>0.35</v>
      </c>
      <c r="J30" s="84"/>
      <c r="K30" s="47"/>
    </row>
    <row r="31" spans="1:11" ht="13" x14ac:dyDescent="0.3">
      <c r="A31" s="47" t="s">
        <v>8</v>
      </c>
      <c r="B31" s="77">
        <v>0.11</v>
      </c>
      <c r="C31" s="77">
        <v>0.11</v>
      </c>
      <c r="D31" s="77">
        <v>0.11</v>
      </c>
      <c r="E31" s="77">
        <v>0.1</v>
      </c>
      <c r="F31" s="77">
        <v>0.1</v>
      </c>
      <c r="G31" s="77">
        <v>0.1</v>
      </c>
      <c r="H31" s="77">
        <v>0.1</v>
      </c>
      <c r="I31" s="77">
        <v>0.1</v>
      </c>
      <c r="J31" s="47"/>
      <c r="K31" s="47"/>
    </row>
    <row r="32" spans="1:11" ht="13" x14ac:dyDescent="0.3">
      <c r="A32" s="47"/>
      <c r="B32" s="77"/>
      <c r="C32" s="77"/>
      <c r="D32" s="77"/>
      <c r="E32" s="77"/>
      <c r="F32" s="77"/>
      <c r="G32" s="77"/>
      <c r="H32" s="77"/>
      <c r="I32" s="77"/>
      <c r="J32" s="47"/>
      <c r="K32" s="47"/>
    </row>
    <row r="33" spans="1:11" ht="13" x14ac:dyDescent="0.3">
      <c r="A33" s="47"/>
      <c r="B33" s="84"/>
      <c r="C33" s="84"/>
      <c r="D33" s="84"/>
      <c r="E33" s="84"/>
      <c r="F33" s="84"/>
      <c r="G33" s="84"/>
      <c r="H33" s="84"/>
      <c r="I33" s="84"/>
      <c r="J33" s="47"/>
      <c r="K33" s="47"/>
    </row>
    <row r="34" spans="1:11" ht="13" x14ac:dyDescent="0.3">
      <c r="A34" s="52" t="s">
        <v>41</v>
      </c>
      <c r="B34" s="85">
        <v>0.35</v>
      </c>
      <c r="C34" s="85">
        <v>0.35</v>
      </c>
      <c r="D34" s="85">
        <v>0.35</v>
      </c>
      <c r="E34" s="85">
        <v>0.35</v>
      </c>
      <c r="F34" s="85">
        <v>0.35</v>
      </c>
      <c r="G34" s="85">
        <v>0.35</v>
      </c>
      <c r="H34" s="85">
        <v>0.35</v>
      </c>
      <c r="I34" s="85">
        <v>0.35</v>
      </c>
      <c r="J34" s="47"/>
      <c r="K34" s="47"/>
    </row>
    <row r="35" spans="1:11" ht="13" x14ac:dyDescent="0.3">
      <c r="A35" s="42" t="s">
        <v>55</v>
      </c>
      <c r="B35" s="53">
        <f>B20/B19</f>
        <v>0</v>
      </c>
      <c r="C35" s="53">
        <f>C20/C19</f>
        <v>0</v>
      </c>
      <c r="D35" s="53">
        <f>D20/D19</f>
        <v>0</v>
      </c>
      <c r="E35" s="53"/>
      <c r="F35" s="53"/>
      <c r="G35" s="53"/>
      <c r="H35" s="53"/>
      <c r="I35" s="53"/>
      <c r="J35" s="47"/>
      <c r="K35" s="47"/>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32"/>
  <sheetViews>
    <sheetView showGridLines="0" zoomScale="125" zoomScaleNormal="100" workbookViewId="0">
      <selection activeCell="A15" sqref="A15"/>
    </sheetView>
  </sheetViews>
  <sheetFormatPr defaultColWidth="11" defaultRowHeight="12" x14ac:dyDescent="0.3"/>
  <cols>
    <col min="1" max="1" width="37.33203125" style="1" customWidth="1"/>
    <col min="2" max="9" width="7.25" style="1" customWidth="1"/>
    <col min="10" max="16384" width="11" style="1"/>
  </cols>
  <sheetData>
    <row r="1" spans="1:13" s="31" customFormat="1" ht="13" x14ac:dyDescent="0.3">
      <c r="A1" s="61" t="s">
        <v>125</v>
      </c>
      <c r="B1" s="15"/>
      <c r="C1" s="15"/>
      <c r="D1" s="15"/>
      <c r="E1" s="15"/>
      <c r="F1" s="15"/>
      <c r="G1" s="15"/>
      <c r="H1" s="15"/>
      <c r="I1" s="15"/>
      <c r="J1" s="20"/>
      <c r="K1" s="20"/>
      <c r="L1" s="20"/>
      <c r="M1" s="20"/>
    </row>
    <row r="2" spans="1:13" s="31" customFormat="1" ht="13" x14ac:dyDescent="0.3">
      <c r="A2" s="61" t="s">
        <v>133</v>
      </c>
      <c r="B2" s="15"/>
      <c r="C2" s="15"/>
      <c r="D2" s="15"/>
      <c r="E2" s="15"/>
      <c r="F2" s="15"/>
      <c r="G2" s="15"/>
      <c r="H2" s="15"/>
      <c r="I2" s="15"/>
      <c r="J2" s="20"/>
      <c r="K2" s="20"/>
      <c r="L2" s="20"/>
      <c r="M2" s="20"/>
    </row>
    <row r="3" spans="1:13" s="31" customFormat="1" ht="13" x14ac:dyDescent="0.3">
      <c r="A3" s="10"/>
      <c r="B3" s="11"/>
      <c r="C3" s="11"/>
      <c r="D3" s="11"/>
      <c r="E3" s="11"/>
      <c r="F3" s="11"/>
      <c r="G3" s="11"/>
      <c r="H3" s="11"/>
      <c r="I3" s="11"/>
    </row>
    <row r="4" spans="1:13" s="31" customFormat="1" ht="13" x14ac:dyDescent="0.3">
      <c r="A4" s="54"/>
      <c r="B4" s="55">
        <v>42004</v>
      </c>
      <c r="C4" s="55">
        <f>EOMONTH(B4,12)</f>
        <v>42369</v>
      </c>
      <c r="D4" s="55">
        <f t="shared" ref="D4:I4" si="0">EOMONTH(C4,12)</f>
        <v>42735</v>
      </c>
      <c r="E4" s="56">
        <f t="shared" si="0"/>
        <v>43100</v>
      </c>
      <c r="F4" s="56">
        <f t="shared" si="0"/>
        <v>43465</v>
      </c>
      <c r="G4" s="56">
        <f t="shared" si="0"/>
        <v>43830</v>
      </c>
      <c r="H4" s="56">
        <f t="shared" si="0"/>
        <v>44196</v>
      </c>
      <c r="I4" s="56">
        <f t="shared" si="0"/>
        <v>44561</v>
      </c>
    </row>
    <row r="5" spans="1:13" s="31" customFormat="1" ht="13" x14ac:dyDescent="0.3">
      <c r="A5" s="48" t="s">
        <v>24</v>
      </c>
    </row>
    <row r="6" spans="1:13" s="31" customFormat="1" ht="13" x14ac:dyDescent="0.3">
      <c r="A6" s="31" t="s">
        <v>11</v>
      </c>
      <c r="B6" s="37">
        <f>'Exhibit 2'!B16</f>
        <v>244.43312400000002</v>
      </c>
      <c r="C6" s="37">
        <f>'Exhibit 2'!C16</f>
        <v>260.7131660900003</v>
      </c>
      <c r="D6" s="37">
        <f>'Exhibit 2'!D16</f>
        <v>345.3586492419696</v>
      </c>
      <c r="E6" s="37">
        <f>'Exhibit 2'!E16</f>
        <v>571.28235268423293</v>
      </c>
      <c r="F6" s="37">
        <f>'Exhibit 2'!F16</f>
        <v>686.84022911371005</v>
      </c>
      <c r="G6" s="37">
        <f>'Exhibit 2'!G16</f>
        <v>749.8537323029999</v>
      </c>
      <c r="H6" s="37">
        <f>'Exhibit 2'!H16</f>
        <v>813.48930219298518</v>
      </c>
      <c r="I6" s="37">
        <f>'Exhibit 2'!I16</f>
        <v>895.49611032456323</v>
      </c>
      <c r="J6" s="37"/>
    </row>
    <row r="7" spans="1:13" s="31" customFormat="1" ht="13" x14ac:dyDescent="0.3">
      <c r="A7" s="31" t="s">
        <v>7</v>
      </c>
      <c r="B7" s="37">
        <f>-'Exhibit 1'!B49</f>
        <v>98.855640000000008</v>
      </c>
      <c r="C7" s="37">
        <f>-'Exhibit 1'!C49</f>
        <v>102.88590839999999</v>
      </c>
      <c r="D7" s="37">
        <f>-'Exhibit 1'!D49</f>
        <v>122.74288872119999</v>
      </c>
      <c r="E7" s="37">
        <f>-'Exhibit 1'!E49</f>
        <v>152.20118201428798</v>
      </c>
      <c r="F7" s="37">
        <f>-'Exhibit 1'!F49</f>
        <v>176.55337113657404</v>
      </c>
      <c r="G7" s="37">
        <f>-'Exhibit 1'!G49</f>
        <v>208.0119718118182</v>
      </c>
      <c r="H7" s="37">
        <f>-'Exhibit 1'!H49</f>
        <v>238.86708096390456</v>
      </c>
      <c r="I7" s="37">
        <f>-'Exhibit 1'!I49</f>
        <v>253.19910582173884</v>
      </c>
      <c r="J7" s="37"/>
    </row>
    <row r="8" spans="1:13" s="31" customFormat="1" ht="13" x14ac:dyDescent="0.3">
      <c r="A8" s="31" t="s">
        <v>56</v>
      </c>
      <c r="B8" s="37">
        <f>--320</f>
        <v>320</v>
      </c>
      <c r="C8" s="37">
        <f>'Exhibit 1'!C6-'Exhibit 1'!B6</f>
        <v>341.495541</v>
      </c>
      <c r="D8" s="37">
        <f>'Exhibit 1'!D6-'Exhibit 1'!C6</f>
        <v>421.34117805900019</v>
      </c>
      <c r="E8" s="37">
        <f>'Exhibit 1'!E6-'Exhibit 1'!D6</f>
        <v>509.56896226679964</v>
      </c>
      <c r="F8" s="37">
        <f>'Exhibit 1'!F6-'Exhibit 1'!E6</f>
        <v>451.99138901212791</v>
      </c>
      <c r="G8" s="37">
        <f>'Exhibit 1'!G6-'Exhibit 1'!F6</f>
        <v>262.15500562703483</v>
      </c>
      <c r="H8" s="37">
        <f>'Exhibit 1'!H6-'Exhibit 1'!G6</f>
        <v>212.34555455789769</v>
      </c>
      <c r="I8" s="37">
        <f>'Exhibit 1'!I6-'Exhibit 1'!H6</f>
        <v>225.08628783137192</v>
      </c>
      <c r="J8" s="37"/>
    </row>
    <row r="9" spans="1:13" s="31" customFormat="1" ht="13" x14ac:dyDescent="0.3">
      <c r="A9" s="31" t="s">
        <v>57</v>
      </c>
      <c r="B9" s="37">
        <v>289.8</v>
      </c>
      <c r="C9" s="37">
        <f>'Exhibit 1'!C7-'Exhibit 1'!B7</f>
        <v>423.74850300000003</v>
      </c>
      <c r="D9" s="37">
        <f>'Exhibit 1'!D7-'Exhibit 1'!C7</f>
        <v>339.57026404199996</v>
      </c>
      <c r="E9" s="37">
        <f>'Exhibit 1'!E7-'Exhibit 1'!D7</f>
        <v>561.64170293639972</v>
      </c>
      <c r="F9" s="37">
        <f>'Exhibit 1'!F7-'Exhibit 1'!E7</f>
        <v>479.66433119654403</v>
      </c>
      <c r="G9" s="37">
        <f>'Exhibit 1'!G7-'Exhibit 1'!F7</f>
        <v>278.20531209399587</v>
      </c>
      <c r="H9" s="37">
        <f>'Exhibit 1'!H7-'Exhibit 1'!G7</f>
        <v>225.34630279613657</v>
      </c>
      <c r="I9" s="37">
        <f>'Exhibit 1'!I7-'Exhibit 1'!H7</f>
        <v>238.8670809639043</v>
      </c>
      <c r="J9" s="37"/>
    </row>
    <row r="10" spans="1:13" s="31" customFormat="1" ht="13" x14ac:dyDescent="0.3">
      <c r="A10" s="31" t="s">
        <v>58</v>
      </c>
      <c r="B10" s="57">
        <v>55.6</v>
      </c>
      <c r="C10" s="37">
        <f>'Exhibit 1'!C8-'Exhibit 1'!B8</f>
        <v>58.299479999999988</v>
      </c>
      <c r="D10" s="37">
        <f>'Exhibit 1'!D8-'Exhibit 1'!C8</f>
        <v>60.172667640000043</v>
      </c>
      <c r="E10" s="37">
        <f>'Exhibit 1'!E8-'Exhibit 1'!D8</f>
        <v>89.267555433599966</v>
      </c>
      <c r="F10" s="37">
        <f>'Exhibit 1'!F8-'Exhibit 1'!E8</f>
        <v>73.794512491776004</v>
      </c>
      <c r="G10" s="37">
        <f>'Exhibit 1'!G8-'Exhibit 1'!F8</f>
        <v>42.800817245230064</v>
      </c>
      <c r="H10" s="37">
        <f>'Exhibit 1'!H8-'Exhibit 1'!G8</f>
        <v>34.668661968636457</v>
      </c>
      <c r="I10" s="37">
        <f>'Exhibit 1'!I8-'Exhibit 1'!H8</f>
        <v>36.748781686754569</v>
      </c>
      <c r="J10" s="37"/>
    </row>
    <row r="11" spans="1:13" s="31" customFormat="1" ht="13" x14ac:dyDescent="0.3">
      <c r="A11" s="31" t="s">
        <v>25</v>
      </c>
      <c r="B11" s="57">
        <v>120.3</v>
      </c>
      <c r="C11" s="57">
        <f>'Exhibit 1'!C14-'Exhibit 1'!B14</f>
        <v>162.22464000000002</v>
      </c>
      <c r="D11" s="57">
        <f>'Exhibit 1'!D14-'Exhibit 1'!C14</f>
        <v>217.71281768400013</v>
      </c>
      <c r="E11" s="57">
        <f>'Exhibit 1'!E14-'Exhibit 1'!D14</f>
        <v>230.6078515367999</v>
      </c>
      <c r="F11" s="57">
        <f>'Exhibit 1'!F14-'Exhibit 1'!E14</f>
        <v>221.38353747532778</v>
      </c>
      <c r="G11" s="57">
        <f>'Exhibit 1'!G14-'Exhibit 1'!F14</f>
        <v>128.40245173569042</v>
      </c>
      <c r="H11" s="57">
        <f>'Exhibit 1'!H14-'Exhibit 1'!G14</f>
        <v>104.00598590590903</v>
      </c>
      <c r="I11" s="57">
        <f>'Exhibit 1'!I14-'Exhibit 1'!H14</f>
        <v>110.24634506026382</v>
      </c>
      <c r="J11" s="37"/>
    </row>
    <row r="12" spans="1:13" s="31" customFormat="1" ht="13" x14ac:dyDescent="0.3">
      <c r="A12" s="31" t="s">
        <v>117</v>
      </c>
      <c r="B12" s="57">
        <v>30.2</v>
      </c>
      <c r="C12" s="57">
        <f>'Exhibit 1'!C15-'Exhibit 1'!B15</f>
        <v>72.81098099999997</v>
      </c>
      <c r="D12" s="57">
        <f>'Exhibit 1'!D15-'Exhibit 1'!C15</f>
        <v>76.174544151000021</v>
      </c>
      <c r="E12" s="57">
        <f>'Exhibit 1'!E15-'Exhibit 1'!D15</f>
        <v>147.66341461307991</v>
      </c>
      <c r="F12" s="57">
        <f>'Exhibit 1'!F15-'Exhibit 1'!E15</f>
        <v>114.38149436225274</v>
      </c>
      <c r="G12" s="57">
        <f>'Exhibit 1'!G15-'Exhibit 1'!F15</f>
        <v>66.341266730106781</v>
      </c>
      <c r="H12" s="57">
        <f>'Exhibit 1'!H15-'Exhibit 1'!G15</f>
        <v>53.736426051386388</v>
      </c>
      <c r="I12" s="57">
        <f>'Exhibit 1'!I15-'Exhibit 1'!H15</f>
        <v>56.960611614469599</v>
      </c>
      <c r="J12" s="37"/>
    </row>
    <row r="13" spans="1:13" s="31" customFormat="1" ht="13" x14ac:dyDescent="0.3">
      <c r="A13" s="12" t="s">
        <v>54</v>
      </c>
      <c r="B13" s="40">
        <f>'Exhibit 1'!B74-'Exhibit 1'!B71</f>
        <v>-163.85216399999996</v>
      </c>
      <c r="C13" s="40">
        <f>'Exhibit 1'!C17-'Exhibit 1'!B17</f>
        <v>8.7661765100001503</v>
      </c>
      <c r="D13" s="40">
        <f>'Exhibit 1'!D17-'Exhibit 1'!C17</f>
        <v>45.578337081829602</v>
      </c>
      <c r="E13" s="40">
        <f>'Exhibit 1'!E17-'Exhibit 1'!D17</f>
        <v>121.65122493044942</v>
      </c>
      <c r="F13" s="40">
        <f>'Exhibit 1'!F17-'Exhibit 1'!E17</f>
        <v>62.223471923564603</v>
      </c>
      <c r="G13" s="40">
        <f>'Exhibit 1'!G17-'Exhibit 1'!F17</f>
        <v>33.930347871156073</v>
      </c>
      <c r="H13" s="40">
        <f>'Exhibit 1'!H17-'Exhibit 1'!G17</f>
        <v>34.265306863838305</v>
      </c>
      <c r="I13" s="40">
        <f>'Exhibit 1'!I17-'Exhibit 1'!H17</f>
        <v>44.157512070849748</v>
      </c>
      <c r="J13" s="37"/>
    </row>
    <row r="14" spans="1:13" s="31" customFormat="1" ht="13" x14ac:dyDescent="0.3">
      <c r="A14" s="15" t="s">
        <v>119</v>
      </c>
      <c r="B14" s="37">
        <f>SUM(B6:B7)-SUM(B8:B10)+SUM(B11:B13)</f>
        <v>-335.46339999999992</v>
      </c>
      <c r="C14" s="37">
        <f>SUM(C6:C7)-SUM(C8:C10)+SUM(C11:C13)</f>
        <v>-216.1426519999996</v>
      </c>
      <c r="D14" s="37">
        <f>SUM(D6:D7)-SUM(D8:D10)+SUM(D11:D13)</f>
        <v>-13.516872861000934</v>
      </c>
      <c r="E14" s="37">
        <f t="shared" ref="E14:G14" si="1">SUM(E6:E7)-SUM(E8:E10)+SUM(E11:E13)</f>
        <v>62.927805142050829</v>
      </c>
      <c r="F14" s="37">
        <f>SUM(F6:F7)-SUM(F8:F10)+SUM(F11:F13)</f>
        <v>255.93187131098125</v>
      </c>
      <c r="G14" s="37">
        <f t="shared" si="1"/>
        <v>603.37863548551059</v>
      </c>
      <c r="H14" s="37">
        <f t="shared" ref="H14:I14" si="2">SUM(H6:H7)-SUM(H8:H10)+SUM(H11:H13)</f>
        <v>772.00358265535272</v>
      </c>
      <c r="I14" s="37">
        <f t="shared" si="2"/>
        <v>859.35753440985445</v>
      </c>
      <c r="J14" s="37"/>
    </row>
    <row r="15" spans="1:13" s="31" customFormat="1" ht="13" x14ac:dyDescent="0.3">
      <c r="B15" s="37"/>
      <c r="C15" s="37"/>
      <c r="D15" s="37"/>
      <c r="E15" s="37"/>
      <c r="F15" s="37"/>
      <c r="G15" s="37"/>
      <c r="H15" s="37"/>
      <c r="I15" s="37"/>
    </row>
    <row r="16" spans="1:13" s="31" customFormat="1" ht="13" x14ac:dyDescent="0.3">
      <c r="A16" s="33" t="s">
        <v>26</v>
      </c>
      <c r="B16" s="37"/>
      <c r="C16" s="37"/>
      <c r="D16" s="37"/>
      <c r="E16" s="37"/>
      <c r="F16" s="37"/>
      <c r="G16" s="37"/>
      <c r="H16" s="37"/>
      <c r="I16" s="37"/>
    </row>
    <row r="17" spans="1:10" s="31" customFormat="1" ht="13" x14ac:dyDescent="0.3">
      <c r="A17" s="12" t="s">
        <v>27</v>
      </c>
      <c r="B17" s="40">
        <f>-'Exhibit 1'!B50</f>
        <v>-354.86640000000006</v>
      </c>
      <c r="C17" s="40">
        <f>-'Exhibit 1'!C50</f>
        <v>-522.22392900000011</v>
      </c>
      <c r="D17" s="40">
        <f>-'Exhibit 1'!D50</f>
        <v>-483.532591932</v>
      </c>
      <c r="E17" s="40">
        <f>-'Exhibit 1'!E50</f>
        <v>-345.91177730520002</v>
      </c>
      <c r="F17" s="40">
        <f>-'Exhibit 1'!F50</f>
        <v>-267.50510778268801</v>
      </c>
      <c r="G17" s="40">
        <f>-'Exhibit 1'!G50</f>
        <v>-144.45275820265152</v>
      </c>
      <c r="H17" s="40">
        <f>-'Exhibit 1'!H50</f>
        <v>-153.11992369481064</v>
      </c>
      <c r="I17" s="40">
        <f>-'Exhibit 1'!I50</f>
        <v>-162.30711911649928</v>
      </c>
    </row>
    <row r="18" spans="1:10" s="31" customFormat="1" ht="13" x14ac:dyDescent="0.3">
      <c r="A18" s="15" t="s">
        <v>28</v>
      </c>
      <c r="B18" s="37">
        <f t="shared" ref="B18:G18" si="3">SUM(B17:B17)</f>
        <v>-354.86640000000006</v>
      </c>
      <c r="C18" s="37">
        <f t="shared" si="3"/>
        <v>-522.22392900000011</v>
      </c>
      <c r="D18" s="37">
        <f t="shared" si="3"/>
        <v>-483.532591932</v>
      </c>
      <c r="E18" s="37">
        <f t="shared" si="3"/>
        <v>-345.91177730520002</v>
      </c>
      <c r="F18" s="37">
        <f t="shared" si="3"/>
        <v>-267.50510778268801</v>
      </c>
      <c r="G18" s="37">
        <f t="shared" si="3"/>
        <v>-144.45275820265152</v>
      </c>
      <c r="H18" s="37">
        <f t="shared" ref="H18:I18" si="4">SUM(H17:H17)</f>
        <v>-153.11992369481064</v>
      </c>
      <c r="I18" s="37">
        <f t="shared" si="4"/>
        <v>-162.30711911649928</v>
      </c>
    </row>
    <row r="19" spans="1:10" s="31" customFormat="1" ht="13" x14ac:dyDescent="0.3">
      <c r="B19" s="37"/>
      <c r="C19" s="37"/>
      <c r="D19" s="37"/>
      <c r="E19" s="37"/>
      <c r="F19" s="37"/>
      <c r="G19" s="37"/>
      <c r="H19" s="37"/>
      <c r="I19" s="37"/>
    </row>
    <row r="20" spans="1:10" s="31" customFormat="1" ht="13" x14ac:dyDescent="0.3">
      <c r="A20" s="33" t="s">
        <v>29</v>
      </c>
      <c r="B20" s="37"/>
      <c r="C20" s="37"/>
      <c r="D20" s="37"/>
      <c r="E20" s="37"/>
      <c r="F20" s="37"/>
      <c r="G20" s="37"/>
      <c r="H20" s="37"/>
      <c r="I20" s="37"/>
    </row>
    <row r="21" spans="1:10" s="31" customFormat="1" ht="13" x14ac:dyDescent="0.3">
      <c r="A21" s="31" t="s">
        <v>96</v>
      </c>
      <c r="B21" s="37">
        <v>800</v>
      </c>
      <c r="C21" s="37">
        <v>860</v>
      </c>
      <c r="D21" s="37">
        <v>700</v>
      </c>
      <c r="E21" s="37">
        <v>500</v>
      </c>
      <c r="F21" s="37">
        <v>150</v>
      </c>
      <c r="G21" s="37">
        <v>-300</v>
      </c>
      <c r="H21" s="37">
        <v>-400</v>
      </c>
      <c r="I21" s="37">
        <v>-500</v>
      </c>
    </row>
    <row r="22" spans="1:10" s="31" customFormat="1" ht="13" x14ac:dyDescent="0.3">
      <c r="A22" s="28" t="s">
        <v>30</v>
      </c>
      <c r="B22" s="37">
        <f>SUM('Exhibit 1'!B59:B60)</f>
        <v>-150</v>
      </c>
      <c r="C22" s="37">
        <f>SUM('Exhibit 1'!C59:C60)</f>
        <v>-150</v>
      </c>
      <c r="D22" s="37">
        <f>SUM('Exhibit 1'!D59:D60)</f>
        <v>-150</v>
      </c>
      <c r="E22" s="37">
        <f>SUM('Exhibit 1'!E59:E60)</f>
        <v>-150</v>
      </c>
      <c r="F22" s="37">
        <f>SUM('Exhibit 1'!F59:F60)</f>
        <v>-150</v>
      </c>
      <c r="G22" s="37">
        <f>SUM('Exhibit 1'!G59:G60)</f>
        <v>-150</v>
      </c>
      <c r="H22" s="37">
        <f>SUM('Exhibit 1'!H59:H60)</f>
        <v>-150</v>
      </c>
      <c r="I22" s="37">
        <f>SUM('Exhibit 1'!I59:I60)</f>
        <v>-150</v>
      </c>
      <c r="J22" s="37"/>
    </row>
    <row r="23" spans="1:10" s="31" customFormat="1" ht="13" x14ac:dyDescent="0.3">
      <c r="A23" s="28" t="s">
        <v>38</v>
      </c>
      <c r="B23" s="37">
        <v>0</v>
      </c>
      <c r="C23" s="37">
        <v>0</v>
      </c>
      <c r="D23" s="37">
        <v>0</v>
      </c>
      <c r="E23" s="37">
        <v>0</v>
      </c>
      <c r="F23" s="37">
        <v>0</v>
      </c>
      <c r="G23" s="37">
        <v>0</v>
      </c>
      <c r="H23" s="37">
        <v>0</v>
      </c>
      <c r="I23" s="37">
        <v>0</v>
      </c>
      <c r="J23" s="37"/>
    </row>
    <row r="24" spans="1:10" s="31" customFormat="1" ht="13" x14ac:dyDescent="0.3">
      <c r="A24" s="11" t="s">
        <v>31</v>
      </c>
      <c r="B24" s="40">
        <f>'Exhibit 2'!B20</f>
        <v>0</v>
      </c>
      <c r="C24" s="40">
        <f>'Exhibit 2'!C20</f>
        <v>0</v>
      </c>
      <c r="D24" s="40">
        <f>'Exhibit 2'!D20</f>
        <v>0</v>
      </c>
      <c r="E24" s="40">
        <f>'Exhibit 2'!E20</f>
        <v>0</v>
      </c>
      <c r="F24" s="40">
        <f>'Exhibit 2'!F20</f>
        <v>0</v>
      </c>
      <c r="G24" s="40">
        <f>'Exhibit 2'!G20</f>
        <v>0</v>
      </c>
      <c r="H24" s="40">
        <f>'Exhibit 2'!H20</f>
        <v>0</v>
      </c>
      <c r="I24" s="40">
        <f>'Exhibit 2'!I20</f>
        <v>0</v>
      </c>
      <c r="J24" s="37"/>
    </row>
    <row r="25" spans="1:10" s="31" customFormat="1" ht="13" x14ac:dyDescent="0.3">
      <c r="A25" s="51" t="s">
        <v>32</v>
      </c>
      <c r="B25" s="37">
        <f>SUM(B21:B24)</f>
        <v>650</v>
      </c>
      <c r="C25" s="37">
        <f t="shared" ref="C25:G25" si="5">SUM(C21:C24)</f>
        <v>710</v>
      </c>
      <c r="D25" s="37">
        <f t="shared" si="5"/>
        <v>550</v>
      </c>
      <c r="E25" s="37">
        <f t="shared" si="5"/>
        <v>350</v>
      </c>
      <c r="F25" s="37">
        <f t="shared" si="5"/>
        <v>0</v>
      </c>
      <c r="G25" s="37">
        <f t="shared" si="5"/>
        <v>-450</v>
      </c>
      <c r="H25" s="37">
        <f t="shared" ref="H25:I25" si="6">SUM(H21:H24)</f>
        <v>-550</v>
      </c>
      <c r="I25" s="37">
        <f t="shared" si="6"/>
        <v>-650</v>
      </c>
      <c r="J25" s="37"/>
    </row>
    <row r="26" spans="1:10" s="31" customFormat="1" ht="13" x14ac:dyDescent="0.3">
      <c r="A26" s="47"/>
      <c r="B26" s="37"/>
      <c r="C26" s="37"/>
      <c r="D26" s="37"/>
      <c r="E26" s="37"/>
      <c r="F26" s="37"/>
      <c r="G26" s="37"/>
      <c r="H26" s="37"/>
      <c r="I26" s="37"/>
    </row>
    <row r="27" spans="1:10" s="31" customFormat="1" ht="13" x14ac:dyDescent="0.3">
      <c r="A27" s="54" t="s">
        <v>33</v>
      </c>
      <c r="B27" s="40">
        <f t="shared" ref="B27:I27" si="7">B14+B18+B25</f>
        <v>-40.329799999999977</v>
      </c>
      <c r="C27" s="40">
        <f t="shared" si="7"/>
        <v>-28.366580999999769</v>
      </c>
      <c r="D27" s="40">
        <f t="shared" si="7"/>
        <v>52.950535206999064</v>
      </c>
      <c r="E27" s="40">
        <f t="shared" si="7"/>
        <v>67.01602783685081</v>
      </c>
      <c r="F27" s="40">
        <f t="shared" si="7"/>
        <v>-11.573236471706764</v>
      </c>
      <c r="G27" s="40">
        <f t="shared" si="7"/>
        <v>8.9258772828590622</v>
      </c>
      <c r="H27" s="40">
        <f t="shared" si="7"/>
        <v>68.883658960542107</v>
      </c>
      <c r="I27" s="40">
        <f t="shared" si="7"/>
        <v>47.050415293355172</v>
      </c>
    </row>
    <row r="28" spans="1:10" s="31" customFormat="1" ht="13" x14ac:dyDescent="0.3">
      <c r="A28" s="47"/>
      <c r="B28" s="37"/>
      <c r="C28" s="37"/>
      <c r="D28" s="37"/>
      <c r="E28" s="37"/>
      <c r="F28" s="37"/>
      <c r="G28" s="37"/>
      <c r="H28" s="37"/>
      <c r="I28" s="37"/>
    </row>
    <row r="29" spans="1:10" s="31" customFormat="1" ht="13" x14ac:dyDescent="0.3">
      <c r="A29" s="42" t="s">
        <v>34</v>
      </c>
      <c r="B29" s="40">
        <v>320</v>
      </c>
      <c r="C29" s="40">
        <f>B31</f>
        <v>279.67020000000002</v>
      </c>
      <c r="D29" s="40">
        <f>C31</f>
        <v>251.30361900000025</v>
      </c>
      <c r="E29" s="40">
        <f>D31</f>
        <v>304.25415420699932</v>
      </c>
      <c r="F29" s="40">
        <f t="shared" ref="F29:I29" si="8">E31</f>
        <v>371.27018204385013</v>
      </c>
      <c r="G29" s="40">
        <f t="shared" si="8"/>
        <v>359.69694557214336</v>
      </c>
      <c r="H29" s="40">
        <f t="shared" si="8"/>
        <v>368.62282285500243</v>
      </c>
      <c r="I29" s="40">
        <f t="shared" si="8"/>
        <v>437.50648181554453</v>
      </c>
    </row>
    <row r="30" spans="1:10" s="31" customFormat="1" ht="13" x14ac:dyDescent="0.3">
      <c r="A30" s="47" t="s">
        <v>35</v>
      </c>
      <c r="B30" s="37">
        <f>B27</f>
        <v>-40.329799999999977</v>
      </c>
      <c r="C30" s="37">
        <f t="shared" ref="C30:D30" si="9">C27</f>
        <v>-28.366580999999769</v>
      </c>
      <c r="D30" s="37">
        <f t="shared" si="9"/>
        <v>52.950535206999064</v>
      </c>
      <c r="E30" s="37">
        <f>E27</f>
        <v>67.01602783685081</v>
      </c>
      <c r="F30" s="37">
        <f t="shared" ref="F30:H30" si="10">F27</f>
        <v>-11.573236471706764</v>
      </c>
      <c r="G30" s="37">
        <f t="shared" si="10"/>
        <v>8.9258772828590622</v>
      </c>
      <c r="H30" s="37">
        <f t="shared" si="10"/>
        <v>68.883658960542107</v>
      </c>
      <c r="I30" s="37">
        <f t="shared" ref="I30" si="11">I27</f>
        <v>47.050415293355172</v>
      </c>
    </row>
    <row r="31" spans="1:10" s="31" customFormat="1" ht="13" x14ac:dyDescent="0.3">
      <c r="A31" s="54" t="s">
        <v>36</v>
      </c>
      <c r="B31" s="58">
        <f>SUM(B29:B30)</f>
        <v>279.67020000000002</v>
      </c>
      <c r="C31" s="59">
        <f>SUM(C29:C30)</f>
        <v>251.30361900000025</v>
      </c>
      <c r="D31" s="59">
        <f t="shared" ref="D31" si="12">SUM(D29:D30)</f>
        <v>304.25415420699932</v>
      </c>
      <c r="E31" s="59">
        <f>SUM(E29:E30)</f>
        <v>371.27018204385013</v>
      </c>
      <c r="F31" s="59">
        <f t="shared" ref="F31:H31" si="13">SUM(F29:F30)</f>
        <v>359.69694557214336</v>
      </c>
      <c r="G31" s="59">
        <f t="shared" si="13"/>
        <v>368.62282285500243</v>
      </c>
      <c r="H31" s="59">
        <f t="shared" si="13"/>
        <v>437.50648181554453</v>
      </c>
      <c r="I31" s="59">
        <f t="shared" ref="I31" si="14">SUM(I29:I30)</f>
        <v>484.5568971088997</v>
      </c>
    </row>
    <row r="32" spans="1:10" x14ac:dyDescent="0.3">
      <c r="B32" s="2"/>
      <c r="C32" s="2"/>
      <c r="D32" s="2"/>
      <c r="E32" s="2"/>
      <c r="F32" s="2"/>
      <c r="G32" s="2"/>
      <c r="H32" s="2"/>
      <c r="I32"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22"/>
  <sheetViews>
    <sheetView topLeftCell="A2" workbookViewId="0">
      <selection activeCell="A18" sqref="A18"/>
    </sheetView>
  </sheetViews>
  <sheetFormatPr defaultColWidth="8.9140625" defaultRowHeight="15.5" x14ac:dyDescent="0.35"/>
  <cols>
    <col min="1" max="1" width="21.5" customWidth="1"/>
    <col min="2" max="16" width="9.6640625" customWidth="1"/>
  </cols>
  <sheetData>
    <row r="1" spans="1:16" s="94" customFormat="1" ht="16" customHeight="1" x14ac:dyDescent="0.3">
      <c r="A1" s="94" t="s">
        <v>126</v>
      </c>
    </row>
    <row r="2" spans="1:16" s="94" customFormat="1" ht="16" customHeight="1" x14ac:dyDescent="0.3">
      <c r="A2" s="94" t="s">
        <v>127</v>
      </c>
    </row>
    <row r="3" spans="1:16" s="62" customFormat="1" x14ac:dyDescent="0.35">
      <c r="A3" s="73"/>
      <c r="B3" s="20"/>
      <c r="C3" s="20"/>
      <c r="D3" s="20"/>
      <c r="E3" s="20"/>
      <c r="F3" s="20"/>
      <c r="G3" s="63"/>
      <c r="H3" s="20"/>
      <c r="I3" s="20"/>
      <c r="J3" s="20"/>
      <c r="K3" s="20"/>
      <c r="L3" s="20"/>
      <c r="M3" s="20"/>
      <c r="N3" s="20"/>
      <c r="O3" s="20"/>
      <c r="P3" s="20"/>
    </row>
    <row r="4" spans="1:16" x14ac:dyDescent="0.35">
      <c r="A4" s="64"/>
      <c r="B4" s="95" t="s">
        <v>91</v>
      </c>
      <c r="C4" s="95"/>
      <c r="D4" s="95"/>
      <c r="E4" s="43"/>
      <c r="F4" s="95" t="s">
        <v>90</v>
      </c>
      <c r="G4" s="95"/>
      <c r="H4" s="95"/>
      <c r="I4" s="31"/>
      <c r="J4" s="95" t="s">
        <v>89</v>
      </c>
      <c r="K4" s="95"/>
      <c r="L4" s="95"/>
      <c r="M4" s="31"/>
      <c r="N4" s="95" t="s">
        <v>88</v>
      </c>
      <c r="O4" s="95"/>
      <c r="P4" s="95"/>
    </row>
    <row r="5" spans="1:16" x14ac:dyDescent="0.35">
      <c r="A5" s="31"/>
      <c r="B5" s="74">
        <v>2014</v>
      </c>
      <c r="C5" s="74">
        <v>2015</v>
      </c>
      <c r="D5" s="74">
        <f>C5+1</f>
        <v>2016</v>
      </c>
      <c r="E5" s="74"/>
      <c r="F5" s="74">
        <v>2014</v>
      </c>
      <c r="G5" s="74">
        <v>2015</v>
      </c>
      <c r="H5" s="74">
        <f>G5+1</f>
        <v>2016</v>
      </c>
      <c r="I5" s="31"/>
      <c r="J5" s="74">
        <v>2014</v>
      </c>
      <c r="K5" s="74">
        <v>2015</v>
      </c>
      <c r="L5" s="74">
        <f>K5+1</f>
        <v>2016</v>
      </c>
      <c r="M5" s="31"/>
      <c r="N5" s="74">
        <v>2014</v>
      </c>
      <c r="O5" s="74">
        <v>2015</v>
      </c>
      <c r="P5" s="74">
        <f>O5+1</f>
        <v>2016</v>
      </c>
    </row>
    <row r="6" spans="1:16" x14ac:dyDescent="0.35">
      <c r="A6" s="31"/>
      <c r="B6" s="74"/>
      <c r="C6" s="74"/>
      <c r="D6" s="74"/>
      <c r="E6" s="74"/>
      <c r="F6" s="74"/>
      <c r="G6" s="74"/>
      <c r="H6" s="74"/>
      <c r="I6" s="31"/>
      <c r="J6" s="74"/>
      <c r="K6" s="74"/>
      <c r="L6" s="74"/>
      <c r="M6" s="31"/>
      <c r="N6" s="74"/>
      <c r="O6" s="74"/>
      <c r="P6" s="74"/>
    </row>
    <row r="7" spans="1:16" x14ac:dyDescent="0.35">
      <c r="A7" s="15" t="s">
        <v>3</v>
      </c>
      <c r="B7" s="65">
        <v>12233</v>
      </c>
      <c r="C7" s="65">
        <v>12238</v>
      </c>
      <c r="D7" s="65">
        <v>13113</v>
      </c>
      <c r="E7" s="43"/>
      <c r="F7" s="65">
        <v>3974.2950000000001</v>
      </c>
      <c r="G7" s="65">
        <v>3840.087</v>
      </c>
      <c r="H7" s="65">
        <v>4300.17</v>
      </c>
      <c r="I7" s="31"/>
      <c r="J7" s="65">
        <v>5.20723</v>
      </c>
      <c r="K7" s="65">
        <v>9.6008169999999993</v>
      </c>
      <c r="L7" s="65">
        <v>17.751995999999998</v>
      </c>
      <c r="M7" s="31"/>
      <c r="N7" s="65">
        <v>41.13</v>
      </c>
      <c r="O7" s="65">
        <v>66.239999999999995</v>
      </c>
      <c r="P7" s="65">
        <v>53.332999999999998</v>
      </c>
    </row>
    <row r="8" spans="1:16" x14ac:dyDescent="0.35">
      <c r="A8" s="15" t="s">
        <v>87</v>
      </c>
      <c r="B8" s="65">
        <v>1992</v>
      </c>
      <c r="C8" s="65">
        <v>1936</v>
      </c>
      <c r="D8" s="65">
        <v>2201</v>
      </c>
      <c r="E8" s="43"/>
      <c r="F8" s="65">
        <v>944.31600000000003</v>
      </c>
      <c r="G8" s="65">
        <v>841.39700000000005</v>
      </c>
      <c r="H8" s="65">
        <v>931.89400000000001</v>
      </c>
      <c r="I8" s="31"/>
      <c r="J8" s="65">
        <v>-5.1319999999999997</v>
      </c>
      <c r="K8" s="65">
        <v>-8.4920000000000009</v>
      </c>
      <c r="L8" s="65">
        <v>-6.38</v>
      </c>
      <c r="M8" s="31"/>
      <c r="N8" s="65">
        <v>-2.2000000000000002</v>
      </c>
      <c r="O8" s="65">
        <v>6.1529999999999996</v>
      </c>
      <c r="P8" s="65">
        <v>1.0149999999999999</v>
      </c>
    </row>
    <row r="9" spans="1:16" x14ac:dyDescent="0.35">
      <c r="A9" s="15" t="s">
        <v>11</v>
      </c>
      <c r="B9" s="65">
        <v>2420</v>
      </c>
      <c r="C9" s="65">
        <v>2009</v>
      </c>
      <c r="D9" s="65">
        <v>1683</v>
      </c>
      <c r="E9" s="66"/>
      <c r="F9" s="65">
        <v>590.85900000000004</v>
      </c>
      <c r="G9" s="65">
        <v>512.15800000000002</v>
      </c>
      <c r="H9" s="65">
        <v>681.47</v>
      </c>
      <c r="I9" s="31"/>
      <c r="J9" s="65">
        <v>-2.8839999999999999</v>
      </c>
      <c r="K9" s="65">
        <v>-9.282</v>
      </c>
      <c r="L9" s="65">
        <v>-6.5369999999999999</v>
      </c>
      <c r="M9" s="31"/>
      <c r="N9" s="65">
        <v>-2.1</v>
      </c>
      <c r="O9" s="65">
        <v>11.561999999999999</v>
      </c>
      <c r="P9" s="65">
        <v>2</v>
      </c>
    </row>
    <row r="10" spans="1:16" x14ac:dyDescent="0.35">
      <c r="A10" s="15" t="s">
        <v>86</v>
      </c>
      <c r="B10" s="65">
        <v>20589</v>
      </c>
      <c r="C10" s="65">
        <v>17608</v>
      </c>
      <c r="D10" s="65">
        <v>19403</v>
      </c>
      <c r="E10" s="66"/>
      <c r="F10" s="65">
        <v>6660.45</v>
      </c>
      <c r="G10" s="65">
        <v>7100.674</v>
      </c>
      <c r="H10" s="65">
        <v>7796.0640000000003</v>
      </c>
      <c r="I10" s="31"/>
      <c r="J10" s="65">
        <v>12.763253000000001</v>
      </c>
      <c r="K10" s="65">
        <v>16.861476</v>
      </c>
      <c r="L10" s="65">
        <v>27.609801000000001</v>
      </c>
      <c r="M10" s="31"/>
      <c r="N10" s="65">
        <v>44.738999999999997</v>
      </c>
      <c r="O10" s="65">
        <v>59.58</v>
      </c>
      <c r="P10" s="65">
        <v>59.500999999999998</v>
      </c>
    </row>
    <row r="11" spans="1:16" x14ac:dyDescent="0.35">
      <c r="A11" s="28" t="s">
        <v>85</v>
      </c>
      <c r="B11" s="65">
        <v>3884</v>
      </c>
      <c r="C11" s="65">
        <v>4070</v>
      </c>
      <c r="D11" s="65">
        <v>4344</v>
      </c>
      <c r="E11" s="66"/>
      <c r="F11" s="65">
        <v>1866.115</v>
      </c>
      <c r="G11" s="65">
        <v>2062.6439999999998</v>
      </c>
      <c r="H11" s="65">
        <v>1866.1659999999999</v>
      </c>
      <c r="I11" s="31"/>
      <c r="J11" s="65">
        <v>3.6937899999999999</v>
      </c>
      <c r="K11" s="65">
        <v>5.5774929999999996</v>
      </c>
      <c r="L11" s="65">
        <v>5.2983929999999999</v>
      </c>
      <c r="M11" s="31"/>
      <c r="N11" s="65">
        <v>0</v>
      </c>
      <c r="O11" s="65">
        <v>0</v>
      </c>
      <c r="P11" s="65">
        <v>0</v>
      </c>
    </row>
    <row r="12" spans="1:16" x14ac:dyDescent="0.35">
      <c r="A12" s="15" t="s">
        <v>22</v>
      </c>
      <c r="B12" s="65">
        <v>11004</v>
      </c>
      <c r="C12" s="65">
        <v>9123</v>
      </c>
      <c r="D12" s="65">
        <v>9652</v>
      </c>
      <c r="E12" s="66"/>
      <c r="F12" s="65">
        <v>3405.8240000000001</v>
      </c>
      <c r="G12" s="65">
        <v>3844.1610000000001</v>
      </c>
      <c r="H12" s="65">
        <v>3768.431</v>
      </c>
      <c r="I12" s="31"/>
      <c r="J12" s="65">
        <v>6.8698139999999999</v>
      </c>
      <c r="K12" s="65">
        <v>9.5490530000000007</v>
      </c>
      <c r="L12" s="65">
        <v>9.6444770000000002</v>
      </c>
      <c r="M12" s="31"/>
      <c r="N12" s="65">
        <v>8.6809999999999992</v>
      </c>
      <c r="O12" s="65">
        <v>10.682</v>
      </c>
      <c r="P12" s="65">
        <v>7.2190000000000003</v>
      </c>
    </row>
    <row r="13" spans="1:16" x14ac:dyDescent="0.35">
      <c r="A13" s="15" t="s">
        <v>94</v>
      </c>
      <c r="B13" s="65">
        <v>9585</v>
      </c>
      <c r="C13" s="65">
        <v>8485</v>
      </c>
      <c r="D13" s="65">
        <v>9751</v>
      </c>
      <c r="E13" s="67"/>
      <c r="F13" s="65">
        <v>3254.6260000000002</v>
      </c>
      <c r="G13" s="65">
        <v>3256.5129999999999</v>
      </c>
      <c r="H13" s="65">
        <v>4027.6329999999998</v>
      </c>
      <c r="I13" s="31"/>
      <c r="J13" s="65">
        <v>5.8934389999999999</v>
      </c>
      <c r="K13" s="65">
        <v>7.3124229999999999</v>
      </c>
      <c r="L13" s="65">
        <v>17.965323999999999</v>
      </c>
      <c r="M13" s="31"/>
      <c r="N13" s="65">
        <v>36.058</v>
      </c>
      <c r="O13" s="65">
        <v>48.898000000000003</v>
      </c>
      <c r="P13" s="65">
        <v>52.281999999999996</v>
      </c>
    </row>
    <row r="14" spans="1:16" x14ac:dyDescent="0.35">
      <c r="A14" s="15" t="s">
        <v>84</v>
      </c>
      <c r="B14" s="65">
        <f>B8/B7</f>
        <v>0.16283822447478133</v>
      </c>
      <c r="C14" s="65">
        <f>C8/C7</f>
        <v>0.15819578362477529</v>
      </c>
      <c r="D14" s="65">
        <f>D8/D7</f>
        <v>0.16784869976359337</v>
      </c>
      <c r="E14" s="67"/>
      <c r="F14" s="65">
        <f>F8/F7</f>
        <v>0.23760591501134165</v>
      </c>
      <c r="G14" s="65">
        <f>G8/G7</f>
        <v>0.21910883789872471</v>
      </c>
      <c r="H14" s="65">
        <f>H8/H7</f>
        <v>0.21671096724083</v>
      </c>
      <c r="I14" s="31"/>
      <c r="J14" s="65">
        <f>J8/J7</f>
        <v>-0.98555277950080944</v>
      </c>
      <c r="K14" s="65">
        <f>K8/K7</f>
        <v>-0.88450805801214638</v>
      </c>
      <c r="L14" s="65">
        <f>L8/L7</f>
        <v>-0.35939620536192102</v>
      </c>
      <c r="M14" s="31"/>
      <c r="N14" s="65">
        <f>N8/N7</f>
        <v>-5.348893751519572E-2</v>
      </c>
      <c r="O14" s="65">
        <f>O8/O7</f>
        <v>9.2889492753623196E-2</v>
      </c>
      <c r="P14" s="65">
        <f>P8/P7</f>
        <v>1.9031368946055911E-2</v>
      </c>
    </row>
    <row r="15" spans="1:16" x14ac:dyDescent="0.35">
      <c r="A15" s="15" t="s">
        <v>83</v>
      </c>
      <c r="B15" s="65">
        <f>B9/B7</f>
        <v>0.19782555382980463</v>
      </c>
      <c r="C15" s="65">
        <f>C9/C7</f>
        <v>0.16416081058996568</v>
      </c>
      <c r="D15" s="65">
        <f>D9/D7</f>
        <v>0.12834591626630062</v>
      </c>
      <c r="E15" s="67"/>
      <c r="F15" s="65">
        <f>F9/F7</f>
        <v>0.14867014149679378</v>
      </c>
      <c r="G15" s="65">
        <f>G9/G7</f>
        <v>0.13337145746958337</v>
      </c>
      <c r="H15" s="65">
        <f>H9/H7</f>
        <v>0.1584751300529979</v>
      </c>
      <c r="I15" s="31"/>
      <c r="J15" s="65">
        <f>J9/J7</f>
        <v>-0.55384532659398567</v>
      </c>
      <c r="K15" s="65">
        <f>K9/K7</f>
        <v>-0.96679272191106247</v>
      </c>
      <c r="L15" s="65">
        <f>L9/L7</f>
        <v>-0.36824028126189307</v>
      </c>
      <c r="M15" s="31"/>
      <c r="N15" s="65">
        <f>N9/N7</f>
        <v>-5.1057622173595912E-2</v>
      </c>
      <c r="O15" s="65">
        <f>O9/O7</f>
        <v>0.17454710144927538</v>
      </c>
      <c r="P15" s="65">
        <f>P9/P7</f>
        <v>3.7500234376464853E-2</v>
      </c>
    </row>
    <row r="16" spans="1:16" x14ac:dyDescent="0.35">
      <c r="A16" s="28" t="s">
        <v>66</v>
      </c>
      <c r="B16" s="65">
        <v>405</v>
      </c>
      <c r="C16" s="65">
        <v>366</v>
      </c>
      <c r="D16" s="65">
        <v>355</v>
      </c>
      <c r="E16" s="67"/>
      <c r="F16" s="65">
        <v>239.90600000000001</v>
      </c>
      <c r="G16" s="65">
        <v>232.59299999999999</v>
      </c>
      <c r="H16" s="65">
        <v>230.22900000000001</v>
      </c>
      <c r="I16" s="31"/>
      <c r="J16" s="65">
        <v>60.179119</v>
      </c>
      <c r="K16" s="65">
        <v>66.735651000000004</v>
      </c>
      <c r="L16" s="65">
        <v>80.954643000000004</v>
      </c>
      <c r="M16" s="31"/>
      <c r="N16" s="65">
        <v>6.7060000000000004</v>
      </c>
      <c r="O16" s="65">
        <v>6.8319999999999999</v>
      </c>
      <c r="P16" s="65">
        <v>6.9459999999999997</v>
      </c>
    </row>
    <row r="17" spans="1:16" x14ac:dyDescent="0.35">
      <c r="A17" s="28" t="s">
        <v>82</v>
      </c>
      <c r="B17" s="65">
        <v>24959.14</v>
      </c>
      <c r="C17" s="65">
        <v>24618.77</v>
      </c>
      <c r="D17" s="65">
        <v>33490.92</v>
      </c>
      <c r="E17" s="67"/>
      <c r="F17" s="65">
        <v>12748.27</v>
      </c>
      <c r="G17" s="65">
        <v>15280</v>
      </c>
      <c r="H17" s="65">
        <v>16940.38</v>
      </c>
      <c r="I17" s="31"/>
      <c r="J17" s="65">
        <v>51.754042339999998</v>
      </c>
      <c r="K17" s="65">
        <v>108.11175462</v>
      </c>
      <c r="L17" s="65">
        <v>90.669200160000003</v>
      </c>
      <c r="M17" s="31"/>
      <c r="N17" s="65">
        <v>51.300899999999999</v>
      </c>
      <c r="O17" s="65">
        <v>191.29599999999999</v>
      </c>
      <c r="P17" s="65">
        <v>114.60899999999999</v>
      </c>
    </row>
    <row r="18" spans="1:16" s="9" customFormat="1" x14ac:dyDescent="0.35">
      <c r="A18" s="28" t="s">
        <v>81</v>
      </c>
      <c r="B18" s="68">
        <v>1.2949999999999999</v>
      </c>
      <c r="C18" s="68">
        <v>1.262</v>
      </c>
      <c r="D18" s="68">
        <v>1.2350000000000001</v>
      </c>
      <c r="E18" s="28"/>
      <c r="F18" s="68">
        <v>1.2889999999999999</v>
      </c>
      <c r="G18" s="68">
        <v>1.1579999999999999</v>
      </c>
      <c r="H18" s="68">
        <v>1.246</v>
      </c>
      <c r="I18" s="28"/>
      <c r="J18" s="68">
        <v>1.3149999999999999</v>
      </c>
      <c r="K18" s="68">
        <v>1.165</v>
      </c>
      <c r="L18" s="68">
        <v>1.02</v>
      </c>
      <c r="M18" s="28"/>
      <c r="N18" s="68">
        <v>0.82</v>
      </c>
      <c r="O18" s="68">
        <v>0.8</v>
      </c>
      <c r="P18" s="68">
        <v>0.85</v>
      </c>
    </row>
    <row r="19" spans="1:16" x14ac:dyDescent="0.35">
      <c r="A19" s="28" t="s">
        <v>80</v>
      </c>
      <c r="B19" s="65">
        <f>B9/B16</f>
        <v>5.9753086419753085</v>
      </c>
      <c r="C19" s="65">
        <f>C9/C16</f>
        <v>5.4890710382513666</v>
      </c>
      <c r="D19" s="65">
        <f>D9/D16</f>
        <v>4.7408450704225356</v>
      </c>
      <c r="E19" s="31"/>
      <c r="F19" s="69">
        <f>F9/F16</f>
        <v>2.4628771268746927</v>
      </c>
      <c r="G19" s="69">
        <f>G9/G16</f>
        <v>2.2019493277957638</v>
      </c>
      <c r="H19" s="69">
        <f>H9/H16</f>
        <v>2.9599659469484729</v>
      </c>
      <c r="I19" s="31"/>
      <c r="J19" s="65">
        <f>J9/J16</f>
        <v>-4.7923599546214689E-2</v>
      </c>
      <c r="K19" s="65">
        <f>K9/K16</f>
        <v>-0.13908607859388381</v>
      </c>
      <c r="L19" s="65">
        <f>L9/L16</f>
        <v>-8.074892010826358E-2</v>
      </c>
      <c r="M19" s="31"/>
      <c r="N19" s="65">
        <f>N9/N16</f>
        <v>-0.31315240083507306</v>
      </c>
      <c r="O19" s="65">
        <f>O9/O16</f>
        <v>1.6923302107728337</v>
      </c>
      <c r="P19" s="65">
        <f>P9/P16</f>
        <v>0.28793550244745181</v>
      </c>
    </row>
    <row r="20" spans="1:16" x14ac:dyDescent="0.35">
      <c r="A20" s="15" t="s">
        <v>79</v>
      </c>
      <c r="B20" s="70">
        <f>B17/B9</f>
        <v>10.313694214876033</v>
      </c>
      <c r="C20" s="70">
        <f>C17/C9</f>
        <v>12.254240915878547</v>
      </c>
      <c r="D20" s="70">
        <f>D17/D9</f>
        <v>19.899536541889482</v>
      </c>
      <c r="E20" s="20"/>
      <c r="F20" s="70">
        <f>F17/F9</f>
        <v>21.575824350648801</v>
      </c>
      <c r="G20" s="70">
        <f>G17/G9</f>
        <v>29.834543246420051</v>
      </c>
      <c r="H20" s="70">
        <f>H17/H9</f>
        <v>24.858585117466653</v>
      </c>
      <c r="I20" s="20"/>
      <c r="J20" s="70">
        <f>J17/J9</f>
        <v>-17.945229660194176</v>
      </c>
      <c r="K20" s="70">
        <f>K17/K9</f>
        <v>-11.647463329023918</v>
      </c>
      <c r="L20" s="70">
        <f>L17/L9</f>
        <v>-13.870154529600734</v>
      </c>
      <c r="M20" s="20"/>
      <c r="N20" s="70">
        <f>N17/N9</f>
        <v>-24.428999999999998</v>
      </c>
      <c r="O20" s="70">
        <f>O17/O9</f>
        <v>16.5452343885141</v>
      </c>
      <c r="P20" s="70">
        <f>P17/P9</f>
        <v>57.304499999999997</v>
      </c>
    </row>
    <row r="21" spans="1:16" x14ac:dyDescent="0.35">
      <c r="A21" s="11" t="s">
        <v>111</v>
      </c>
      <c r="B21" s="71">
        <f>B11/B17</f>
        <v>0.15561433607087424</v>
      </c>
      <c r="C21" s="71">
        <f t="shared" ref="C21:D21" si="0">C11/C17</f>
        <v>0.16532101319440409</v>
      </c>
      <c r="D21" s="71">
        <f t="shared" si="0"/>
        <v>0.12970679814110811</v>
      </c>
      <c r="E21" s="12"/>
      <c r="F21" s="71">
        <f>F11/F17</f>
        <v>0.14638182278850384</v>
      </c>
      <c r="G21" s="71">
        <f t="shared" ref="G21:H21" si="1">G11/G17</f>
        <v>0.1349897905759162</v>
      </c>
      <c r="H21" s="71">
        <f t="shared" si="1"/>
        <v>0.11016081103257423</v>
      </c>
      <c r="I21" s="12"/>
      <c r="J21" s="71">
        <f>J11/J17</f>
        <v>7.1372009469975642E-2</v>
      </c>
      <c r="K21" s="71">
        <f t="shared" ref="K21" si="2">K11/K17</f>
        <v>5.1590070104811696E-2</v>
      </c>
      <c r="L21" s="71">
        <f>L11/L17</f>
        <v>5.8436525199849078E-2</v>
      </c>
      <c r="M21" s="12"/>
      <c r="N21" s="71"/>
      <c r="O21" s="71"/>
      <c r="P21" s="71"/>
    </row>
    <row r="22" spans="1:16" x14ac:dyDescent="0.35">
      <c r="A22" s="31" t="s">
        <v>118</v>
      </c>
      <c r="B22" s="31"/>
      <c r="C22" s="31"/>
      <c r="D22" s="31"/>
      <c r="E22" s="31"/>
      <c r="F22" s="31"/>
      <c r="G22" s="31"/>
      <c r="H22" s="31"/>
      <c r="I22" s="31"/>
      <c r="J22" s="31"/>
      <c r="K22" s="31"/>
      <c r="L22" s="31"/>
      <c r="M22" s="31"/>
      <c r="N22" s="31"/>
      <c r="O22" s="31"/>
      <c r="P22" s="31"/>
    </row>
  </sheetData>
  <mergeCells count="6">
    <mergeCell ref="A1:XFD1"/>
    <mergeCell ref="A2:XFD2"/>
    <mergeCell ref="B4:D4"/>
    <mergeCell ref="F4:H4"/>
    <mergeCell ref="J4:L4"/>
    <mergeCell ref="N4:P4"/>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K20"/>
  <sheetViews>
    <sheetView zoomScale="110" zoomScaleNormal="110" workbookViewId="0">
      <selection activeCell="A22" sqref="A22"/>
    </sheetView>
  </sheetViews>
  <sheetFormatPr defaultColWidth="8.9140625" defaultRowHeight="11.5" x14ac:dyDescent="0.25"/>
  <cols>
    <col min="1" max="1" width="20.4140625" style="5" customWidth="1"/>
    <col min="2" max="16384" width="8.9140625" style="5"/>
  </cols>
  <sheetData>
    <row r="1" spans="1:11" s="31" customFormat="1" ht="13" x14ac:dyDescent="0.3">
      <c r="A1" s="96" t="s">
        <v>128</v>
      </c>
      <c r="B1" s="96"/>
      <c r="C1" s="96"/>
      <c r="D1" s="96"/>
      <c r="E1" s="96"/>
      <c r="F1" s="96"/>
      <c r="G1" s="96"/>
      <c r="H1" s="96"/>
      <c r="I1" s="96"/>
      <c r="J1" s="96"/>
      <c r="K1" s="96"/>
    </row>
    <row r="2" spans="1:11" s="31" customFormat="1" ht="13" x14ac:dyDescent="0.3">
      <c r="A2" s="96" t="s">
        <v>134</v>
      </c>
      <c r="B2" s="96"/>
      <c r="C2" s="96"/>
      <c r="D2" s="96"/>
      <c r="E2" s="96"/>
      <c r="F2" s="96"/>
      <c r="G2" s="96"/>
      <c r="H2" s="96"/>
      <c r="I2" s="96"/>
      <c r="J2" s="96"/>
      <c r="K2" s="96"/>
    </row>
    <row r="3" spans="1:11" s="31" customFormat="1" ht="13" x14ac:dyDescent="0.3">
      <c r="A3" s="41"/>
      <c r="B3" s="13"/>
      <c r="C3" s="13"/>
      <c r="D3" s="13"/>
    </row>
    <row r="4" spans="1:11" s="31" customFormat="1" ht="13" x14ac:dyDescent="0.3">
      <c r="A4" s="18"/>
      <c r="B4" s="72">
        <v>2014</v>
      </c>
      <c r="C4" s="72">
        <v>2015</v>
      </c>
      <c r="D4" s="72">
        <f>C4+1</f>
        <v>2016</v>
      </c>
    </row>
    <row r="5" spans="1:11" s="31" customFormat="1" ht="13" x14ac:dyDescent="0.3">
      <c r="A5" s="15" t="s">
        <v>51</v>
      </c>
      <c r="B5" s="16">
        <v>379.09193212000014</v>
      </c>
      <c r="C5" s="16">
        <v>350.20031570463993</v>
      </c>
      <c r="D5" s="16">
        <v>359.75383404262999</v>
      </c>
    </row>
    <row r="6" spans="1:11" s="31" customFormat="1" ht="13" x14ac:dyDescent="0.3">
      <c r="A6" s="15" t="s">
        <v>13</v>
      </c>
      <c r="B6" s="16">
        <v>485.91219600000011</v>
      </c>
      <c r="C6" s="16">
        <v>592.00597038240016</v>
      </c>
      <c r="D6" s="16">
        <v>680.14353394884972</v>
      </c>
    </row>
    <row r="7" spans="1:11" s="31" customFormat="1" ht="13" x14ac:dyDescent="0.3">
      <c r="A7" s="11" t="s">
        <v>2</v>
      </c>
      <c r="B7" s="17">
        <v>279.76762800000006</v>
      </c>
      <c r="C7" s="17">
        <v>413.6909190624001</v>
      </c>
      <c r="D7" s="17">
        <v>480.58046111355844</v>
      </c>
    </row>
    <row r="8" spans="1:11" s="31" customFormat="1" ht="13" x14ac:dyDescent="0.3">
      <c r="A8" s="15" t="s">
        <v>95</v>
      </c>
      <c r="B8" s="16">
        <v>27.756259999999997</v>
      </c>
      <c r="C8" s="16">
        <v>5.1564799999999993</v>
      </c>
      <c r="D8" s="16">
        <v>16.873639999999998</v>
      </c>
    </row>
    <row r="9" spans="1:11" s="31" customFormat="1" ht="13" x14ac:dyDescent="0.3">
      <c r="A9" s="15" t="s">
        <v>14</v>
      </c>
      <c r="B9" s="16">
        <v>1172.5280161200003</v>
      </c>
      <c r="C9" s="16">
        <v>1361.0536851494403</v>
      </c>
      <c r="D9" s="16">
        <v>1537.3514691050382</v>
      </c>
    </row>
    <row r="10" spans="1:11" s="31" customFormat="1" ht="13" x14ac:dyDescent="0.3">
      <c r="A10" s="15"/>
      <c r="B10" s="16"/>
      <c r="C10" s="16"/>
      <c r="D10" s="16"/>
    </row>
    <row r="11" spans="1:11" s="31" customFormat="1" ht="13" x14ac:dyDescent="0.3">
      <c r="A11" s="15" t="s">
        <v>15</v>
      </c>
      <c r="B11" s="21">
        <v>249.05317976000001</v>
      </c>
      <c r="C11" s="21">
        <v>339.28059572792006</v>
      </c>
      <c r="D11" s="21">
        <v>479.78928986705364</v>
      </c>
    </row>
    <row r="12" spans="1:11" s="31" customFormat="1" ht="13" x14ac:dyDescent="0.3">
      <c r="A12" s="18" t="s">
        <v>16</v>
      </c>
      <c r="B12" s="19">
        <v>1421.5811958800002</v>
      </c>
      <c r="C12" s="19">
        <v>1700.3342808773605</v>
      </c>
      <c r="D12" s="19">
        <v>2017.1407589720918</v>
      </c>
    </row>
    <row r="13" spans="1:11" s="31" customFormat="1" ht="13" x14ac:dyDescent="0.3">
      <c r="A13" s="15"/>
      <c r="B13" s="16"/>
      <c r="C13" s="16"/>
      <c r="D13" s="16"/>
    </row>
    <row r="14" spans="1:11" s="31" customFormat="1" ht="13" x14ac:dyDescent="0.3">
      <c r="A14" s="15" t="s">
        <v>92</v>
      </c>
      <c r="B14" s="16">
        <v>340.6</v>
      </c>
      <c r="C14" s="16">
        <v>340.6</v>
      </c>
      <c r="D14" s="16">
        <v>310.60000000000002</v>
      </c>
    </row>
    <row r="15" spans="1:11" s="31" customFormat="1" ht="13" x14ac:dyDescent="0.3">
      <c r="A15" s="15" t="s">
        <v>17</v>
      </c>
      <c r="B15" s="16">
        <v>126.63166320000001</v>
      </c>
      <c r="C15" s="16">
        <v>153.35094413520002</v>
      </c>
      <c r="D15" s="16">
        <v>175.12677820239841</v>
      </c>
    </row>
    <row r="16" spans="1:11" s="31" customFormat="1" ht="13" x14ac:dyDescent="0.3">
      <c r="A16" s="15" t="s">
        <v>116</v>
      </c>
      <c r="B16" s="16">
        <v>104.8579</v>
      </c>
      <c r="C16" s="16">
        <v>76.988100000000003</v>
      </c>
      <c r="D16" s="16">
        <v>101.81789430372002</v>
      </c>
    </row>
    <row r="17" spans="1:4" s="31" customFormat="1" ht="13" x14ac:dyDescent="0.3">
      <c r="A17" s="11" t="s">
        <v>1</v>
      </c>
      <c r="B17" s="17">
        <v>572.08956320000004</v>
      </c>
      <c r="C17" s="17">
        <v>570.93904413520011</v>
      </c>
      <c r="D17" s="17">
        <v>587.54467250611845</v>
      </c>
    </row>
    <row r="18" spans="1:4" s="31" customFormat="1" ht="13" x14ac:dyDescent="0.3">
      <c r="A18" s="15"/>
      <c r="B18" s="16"/>
      <c r="C18" s="16"/>
      <c r="D18" s="16"/>
    </row>
    <row r="19" spans="1:4" s="31" customFormat="1" ht="13" x14ac:dyDescent="0.3">
      <c r="A19" s="15" t="s">
        <v>94</v>
      </c>
      <c r="B19" s="16">
        <v>849.5</v>
      </c>
      <c r="C19" s="16">
        <v>1129.40360406216</v>
      </c>
      <c r="D19" s="16">
        <v>1429.604453785973</v>
      </c>
    </row>
    <row r="20" spans="1:4" s="31" customFormat="1" ht="13" x14ac:dyDescent="0.3">
      <c r="A20" s="11" t="s">
        <v>23</v>
      </c>
      <c r="B20" s="17">
        <v>1421.5895632000002</v>
      </c>
      <c r="C20" s="17">
        <v>1700.3426481973602</v>
      </c>
      <c r="D20" s="17">
        <v>2017.1491262920913</v>
      </c>
    </row>
  </sheetData>
  <mergeCells count="2">
    <mergeCell ref="A2:K2"/>
    <mergeCell ref="A1:K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J20"/>
  <sheetViews>
    <sheetView workbookViewId="0">
      <selection activeCell="A16" sqref="A16"/>
    </sheetView>
  </sheetViews>
  <sheetFormatPr defaultColWidth="8.9140625" defaultRowHeight="13" x14ac:dyDescent="0.3"/>
  <cols>
    <col min="1" max="1" width="27.25" style="8" customWidth="1"/>
    <col min="2" max="16384" width="8.9140625" style="8"/>
  </cols>
  <sheetData>
    <row r="1" spans="1:10" s="31" customFormat="1" x14ac:dyDescent="0.3">
      <c r="A1" s="97" t="s">
        <v>129</v>
      </c>
      <c r="B1" s="97"/>
      <c r="C1" s="97"/>
      <c r="D1" s="97"/>
      <c r="E1" s="97"/>
      <c r="F1" s="97"/>
      <c r="G1" s="97"/>
      <c r="H1" s="97"/>
      <c r="I1" s="97"/>
      <c r="J1" s="97"/>
    </row>
    <row r="2" spans="1:10" s="31" customFormat="1" x14ac:dyDescent="0.3">
      <c r="A2" s="97" t="s">
        <v>135</v>
      </c>
      <c r="B2" s="97"/>
      <c r="C2" s="97"/>
      <c r="D2" s="97"/>
      <c r="E2" s="97"/>
      <c r="F2" s="97"/>
      <c r="G2" s="97"/>
      <c r="H2" s="97"/>
      <c r="I2" s="97"/>
      <c r="J2" s="97"/>
    </row>
    <row r="3" spans="1:10" s="31" customFormat="1" x14ac:dyDescent="0.3">
      <c r="A3" s="10"/>
    </row>
    <row r="4" spans="1:10" s="31" customFormat="1" x14ac:dyDescent="0.3">
      <c r="A4" s="54"/>
      <c r="B4" s="72">
        <v>2014</v>
      </c>
      <c r="C4" s="72">
        <v>2015</v>
      </c>
      <c r="D4" s="72">
        <f>C4+1</f>
        <v>2016</v>
      </c>
    </row>
    <row r="5" spans="1:10" s="31" customFormat="1" x14ac:dyDescent="0.3">
      <c r="A5" s="31" t="s">
        <v>3</v>
      </c>
      <c r="B5" s="37">
        <v>2944.9224000000004</v>
      </c>
      <c r="C5" s="37">
        <v>3566.3010264000009</v>
      </c>
      <c r="D5" s="37">
        <v>4072.7157721488006</v>
      </c>
    </row>
    <row r="6" spans="1:10" s="31" customFormat="1" x14ac:dyDescent="0.3">
      <c r="A6" s="12" t="s">
        <v>4</v>
      </c>
      <c r="B6" s="40">
        <v>1524.95616</v>
      </c>
      <c r="C6" s="40">
        <v>1811.6809214112004</v>
      </c>
      <c r="D6" s="40">
        <v>2085.2304753401859</v>
      </c>
    </row>
    <row r="7" spans="1:10" s="31" customFormat="1" x14ac:dyDescent="0.3">
      <c r="A7" s="31" t="s">
        <v>5</v>
      </c>
      <c r="B7" s="37">
        <v>1419.9662400000004</v>
      </c>
      <c r="C7" s="37">
        <v>1754.6201049888004</v>
      </c>
      <c r="D7" s="37">
        <v>1987.4852968086147</v>
      </c>
    </row>
    <row r="8" spans="1:10" s="31" customFormat="1" x14ac:dyDescent="0.3"/>
    <row r="9" spans="1:10" s="31" customFormat="1" x14ac:dyDescent="0.3">
      <c r="A9" s="15" t="s">
        <v>6</v>
      </c>
      <c r="B9" s="37">
        <v>814.86002808000012</v>
      </c>
      <c r="C9" s="37">
        <v>930.09130768512034</v>
      </c>
      <c r="D9" s="37">
        <v>1080.8987659282916</v>
      </c>
    </row>
    <row r="10" spans="1:10" s="31" customFormat="1" x14ac:dyDescent="0.3">
      <c r="A10" s="31" t="s">
        <v>8</v>
      </c>
      <c r="B10" s="37">
        <v>153.13596480000001</v>
      </c>
      <c r="C10" s="37">
        <v>178.31505132000007</v>
      </c>
      <c r="D10" s="37">
        <v>219.92665169603524</v>
      </c>
    </row>
    <row r="11" spans="1:10" s="31" customFormat="1" x14ac:dyDescent="0.3">
      <c r="A11" s="20" t="s">
        <v>7</v>
      </c>
      <c r="B11" s="76">
        <v>142.23975192</v>
      </c>
      <c r="C11" s="76">
        <v>196.85981665728002</v>
      </c>
      <c r="D11" s="76">
        <v>206.07941807072928</v>
      </c>
    </row>
    <row r="12" spans="1:10" s="31" customFormat="1" x14ac:dyDescent="0.3">
      <c r="A12" s="12" t="s">
        <v>110</v>
      </c>
      <c r="B12" s="40">
        <v>18.733000000000001</v>
      </c>
      <c r="C12" s="40">
        <v>18.733000000000001</v>
      </c>
      <c r="D12" s="40">
        <v>18.733000000000001</v>
      </c>
    </row>
    <row r="13" spans="1:10" s="31" customFormat="1" x14ac:dyDescent="0.3">
      <c r="A13" s="31" t="s">
        <v>9</v>
      </c>
      <c r="B13" s="37">
        <v>290.99749520000023</v>
      </c>
      <c r="C13" s="37">
        <v>430.62092932639985</v>
      </c>
      <c r="D13" s="37">
        <v>461.84746111355867</v>
      </c>
    </row>
    <row r="14" spans="1:10" s="31" customFormat="1" x14ac:dyDescent="0.3">
      <c r="B14" s="43"/>
      <c r="C14" s="43"/>
      <c r="D14" s="43"/>
    </row>
    <row r="15" spans="1:10" s="31" customFormat="1" x14ac:dyDescent="0.3">
      <c r="A15" s="12" t="s">
        <v>10</v>
      </c>
      <c r="B15" s="40">
        <v>101.84912332000007</v>
      </c>
      <c r="C15" s="40">
        <v>150.71732526423995</v>
      </c>
      <c r="D15" s="40">
        <v>161.64661138974552</v>
      </c>
    </row>
    <row r="16" spans="1:10" s="31" customFormat="1" x14ac:dyDescent="0.3">
      <c r="A16" s="20" t="s">
        <v>11</v>
      </c>
      <c r="B16" s="37">
        <v>189.14837188000016</v>
      </c>
      <c r="C16" s="37">
        <v>279.9036040621599</v>
      </c>
      <c r="D16" s="37">
        <v>300.20084972381312</v>
      </c>
    </row>
    <row r="17" spans="1:4" s="31" customFormat="1" x14ac:dyDescent="0.3">
      <c r="B17" s="43"/>
      <c r="C17" s="43"/>
      <c r="D17" s="43"/>
    </row>
    <row r="18" spans="1:4" s="31" customFormat="1" x14ac:dyDescent="0.3">
      <c r="A18" s="20" t="s">
        <v>99</v>
      </c>
      <c r="B18" s="86">
        <v>1100</v>
      </c>
      <c r="C18" s="86">
        <v>1100</v>
      </c>
      <c r="D18" s="86">
        <v>1100</v>
      </c>
    </row>
    <row r="19" spans="1:4" s="31" customFormat="1" x14ac:dyDescent="0.3">
      <c r="A19" s="20" t="s">
        <v>120</v>
      </c>
      <c r="B19" s="87">
        <f>B16/B18</f>
        <v>0.17195306534545468</v>
      </c>
      <c r="C19" s="87">
        <f>C16/C18</f>
        <v>0.25445782187469079</v>
      </c>
      <c r="D19" s="87">
        <f>D16/D18</f>
        <v>0.27290986338528467</v>
      </c>
    </row>
    <row r="20" spans="1:4" s="31" customFormat="1" x14ac:dyDescent="0.3">
      <c r="A20" s="12" t="s">
        <v>12</v>
      </c>
      <c r="B20" s="40">
        <v>0</v>
      </c>
      <c r="C20" s="40">
        <v>0</v>
      </c>
      <c r="D20" s="40">
        <v>0</v>
      </c>
    </row>
  </sheetData>
  <mergeCells count="2">
    <mergeCell ref="A1:J1"/>
    <mergeCell ref="A2:J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J29"/>
  <sheetViews>
    <sheetView workbookViewId="0">
      <selection activeCell="A16" sqref="A16"/>
    </sheetView>
  </sheetViews>
  <sheetFormatPr defaultColWidth="8.9140625" defaultRowHeight="13" x14ac:dyDescent="0.3"/>
  <cols>
    <col min="1" max="1" width="37" style="8" customWidth="1"/>
    <col min="2" max="16384" width="8.9140625" style="8"/>
  </cols>
  <sheetData>
    <row r="1" spans="1:10" s="31" customFormat="1" x14ac:dyDescent="0.3">
      <c r="A1" s="98" t="s">
        <v>130</v>
      </c>
      <c r="B1" s="98"/>
      <c r="C1" s="98"/>
      <c r="D1" s="98"/>
      <c r="E1" s="98"/>
      <c r="F1" s="98"/>
      <c r="G1" s="98"/>
      <c r="H1" s="98"/>
      <c r="I1" s="98"/>
      <c r="J1" s="98"/>
    </row>
    <row r="2" spans="1:10" s="31" customFormat="1" x14ac:dyDescent="0.3">
      <c r="A2" s="98" t="s">
        <v>136</v>
      </c>
      <c r="B2" s="98"/>
      <c r="C2" s="98"/>
      <c r="D2" s="98"/>
      <c r="E2" s="98"/>
      <c r="F2" s="98"/>
      <c r="G2" s="98"/>
      <c r="H2" s="98"/>
      <c r="I2" s="98"/>
      <c r="J2" s="98"/>
    </row>
    <row r="3" spans="1:10" s="31" customFormat="1" x14ac:dyDescent="0.3">
      <c r="A3" s="33"/>
    </row>
    <row r="4" spans="1:10" s="31" customFormat="1" x14ac:dyDescent="0.3">
      <c r="A4" s="49"/>
      <c r="B4" s="72">
        <v>2014</v>
      </c>
      <c r="C4" s="72">
        <v>2015</v>
      </c>
      <c r="D4" s="72">
        <f>C4+1</f>
        <v>2016</v>
      </c>
    </row>
    <row r="5" spans="1:10" s="31" customFormat="1" x14ac:dyDescent="0.3">
      <c r="A5" s="48" t="s">
        <v>24</v>
      </c>
    </row>
    <row r="6" spans="1:10" s="31" customFormat="1" x14ac:dyDescent="0.3">
      <c r="A6" s="31" t="s">
        <v>11</v>
      </c>
      <c r="B6" s="37">
        <v>189.14837188000016</v>
      </c>
      <c r="C6" s="37">
        <v>279.9036040621599</v>
      </c>
      <c r="D6" s="37">
        <v>300.20084972381312</v>
      </c>
    </row>
    <row r="7" spans="1:10" s="31" customFormat="1" x14ac:dyDescent="0.3">
      <c r="A7" s="31" t="s">
        <v>7</v>
      </c>
      <c r="B7" s="37">
        <v>142.23975192</v>
      </c>
      <c r="C7" s="37">
        <v>196.85981665728002</v>
      </c>
      <c r="D7" s="37">
        <v>206.07941807072928</v>
      </c>
    </row>
    <row r="8" spans="1:10" s="31" customFormat="1" x14ac:dyDescent="0.3">
      <c r="A8" s="31" t="s">
        <v>56</v>
      </c>
      <c r="B8" s="37">
        <v>8.9615399999999994</v>
      </c>
      <c r="C8" s="37">
        <v>106.09377438240006</v>
      </c>
      <c r="D8" s="37">
        <v>88.137563566449558</v>
      </c>
    </row>
    <row r="9" spans="1:10" s="31" customFormat="1" x14ac:dyDescent="0.3">
      <c r="A9" s="31" t="s">
        <v>57</v>
      </c>
      <c r="B9" s="37">
        <v>-108.5</v>
      </c>
      <c r="C9" s="37">
        <v>133.92329106240004</v>
      </c>
      <c r="D9" s="37">
        <v>66.889542051158344</v>
      </c>
    </row>
    <row r="10" spans="1:10" s="31" customFormat="1" x14ac:dyDescent="0.3">
      <c r="A10" s="31" t="s">
        <v>97</v>
      </c>
      <c r="B10" s="57">
        <v>-28</v>
      </c>
      <c r="C10" s="37">
        <v>-22.599779999999999</v>
      </c>
      <c r="D10" s="37">
        <v>11.71716</v>
      </c>
    </row>
    <row r="11" spans="1:10" s="31" customFormat="1" x14ac:dyDescent="0.3">
      <c r="A11" s="31" t="s">
        <v>25</v>
      </c>
      <c r="B11" s="57">
        <v>34.958280000000002</v>
      </c>
      <c r="C11" s="57">
        <v>26.719280935200018</v>
      </c>
      <c r="D11" s="57">
        <v>21.775834067198389</v>
      </c>
    </row>
    <row r="12" spans="1:10" s="31" customFormat="1" x14ac:dyDescent="0.3">
      <c r="A12" s="12" t="s">
        <v>117</v>
      </c>
      <c r="B12" s="75">
        <v>14</v>
      </c>
      <c r="C12" s="75">
        <v>-27.869799999999998</v>
      </c>
      <c r="D12" s="75">
        <v>24.829794303720021</v>
      </c>
    </row>
    <row r="13" spans="1:10" s="31" customFormat="1" x14ac:dyDescent="0.3">
      <c r="A13" s="15" t="s">
        <v>119</v>
      </c>
      <c r="B13" s="37">
        <v>507.88486380000012</v>
      </c>
      <c r="C13" s="37">
        <v>258.19561620983984</v>
      </c>
      <c r="D13" s="37">
        <v>386.14163054785291</v>
      </c>
    </row>
    <row r="14" spans="1:10" s="31" customFormat="1" x14ac:dyDescent="0.3">
      <c r="B14" s="37"/>
      <c r="C14" s="37"/>
      <c r="D14" s="37"/>
    </row>
    <row r="15" spans="1:10" s="31" customFormat="1" x14ac:dyDescent="0.3">
      <c r="A15" s="33" t="s">
        <v>26</v>
      </c>
      <c r="B15" s="37"/>
      <c r="C15" s="37"/>
      <c r="D15" s="37"/>
    </row>
    <row r="16" spans="1:10" s="31" customFormat="1" x14ac:dyDescent="0.3">
      <c r="A16" s="12" t="s">
        <v>27</v>
      </c>
      <c r="B16" s="40">
        <v>-230.29293168000001</v>
      </c>
      <c r="C16" s="40">
        <v>-287.08723262520004</v>
      </c>
      <c r="D16" s="40">
        <v>-346.58811220986286</v>
      </c>
    </row>
    <row r="17" spans="1:4" s="31" customFormat="1" x14ac:dyDescent="0.3">
      <c r="A17" s="15" t="s">
        <v>28</v>
      </c>
      <c r="B17" s="37">
        <v>-230.29293168000001</v>
      </c>
      <c r="C17" s="37">
        <v>-287.08723262520004</v>
      </c>
      <c r="D17" s="37">
        <v>-346.58811220986286</v>
      </c>
    </row>
    <row r="18" spans="1:4" s="31" customFormat="1" x14ac:dyDescent="0.3">
      <c r="B18" s="37"/>
      <c r="C18" s="37"/>
      <c r="D18" s="37"/>
    </row>
    <row r="19" spans="1:4" s="31" customFormat="1" x14ac:dyDescent="0.3">
      <c r="A19" s="33" t="s">
        <v>29</v>
      </c>
      <c r="B19" s="37"/>
      <c r="C19" s="37"/>
      <c r="D19" s="37"/>
    </row>
    <row r="20" spans="1:4" s="31" customFormat="1" x14ac:dyDescent="0.3">
      <c r="A20" s="28" t="s">
        <v>109</v>
      </c>
      <c r="B20" s="37">
        <v>-100</v>
      </c>
      <c r="C20" s="37">
        <v>0</v>
      </c>
      <c r="D20" s="37">
        <v>-30</v>
      </c>
    </row>
    <row r="21" spans="1:4" s="31" customFormat="1" x14ac:dyDescent="0.3">
      <c r="A21" s="31" t="s">
        <v>38</v>
      </c>
      <c r="B21" s="37">
        <v>0</v>
      </c>
      <c r="C21" s="37">
        <v>0</v>
      </c>
      <c r="D21" s="37">
        <v>0</v>
      </c>
    </row>
    <row r="22" spans="1:4" s="31" customFormat="1" x14ac:dyDescent="0.3">
      <c r="A22" s="11" t="s">
        <v>31</v>
      </c>
      <c r="B22" s="40">
        <v>0</v>
      </c>
      <c r="C22" s="40">
        <v>0</v>
      </c>
      <c r="D22" s="40">
        <v>0</v>
      </c>
    </row>
    <row r="23" spans="1:4" s="31" customFormat="1" x14ac:dyDescent="0.3">
      <c r="A23" s="15" t="s">
        <v>32</v>
      </c>
      <c r="B23" s="37">
        <v>-100</v>
      </c>
      <c r="C23" s="37">
        <v>0</v>
      </c>
      <c r="D23" s="37">
        <v>-30</v>
      </c>
    </row>
    <row r="24" spans="1:4" s="31" customFormat="1" x14ac:dyDescent="0.3">
      <c r="B24" s="37"/>
      <c r="C24" s="37"/>
      <c r="D24" s="37"/>
    </row>
    <row r="25" spans="1:4" s="31" customFormat="1" x14ac:dyDescent="0.3">
      <c r="A25" s="41" t="s">
        <v>33</v>
      </c>
      <c r="B25" s="40">
        <v>177.59193212000014</v>
      </c>
      <c r="C25" s="40">
        <v>-28.891616415360204</v>
      </c>
      <c r="D25" s="40">
        <v>9.5535183379900559</v>
      </c>
    </row>
    <row r="26" spans="1:4" s="31" customFormat="1" x14ac:dyDescent="0.3">
      <c r="B26" s="37"/>
      <c r="C26" s="37"/>
      <c r="D26" s="37"/>
    </row>
    <row r="27" spans="1:4" s="31" customFormat="1" x14ac:dyDescent="0.3">
      <c r="A27" s="12" t="s">
        <v>34</v>
      </c>
      <c r="B27" s="40">
        <v>201.5</v>
      </c>
      <c r="C27" s="40">
        <v>379.09193212000014</v>
      </c>
      <c r="D27" s="40">
        <v>350.20031570463993</v>
      </c>
    </row>
    <row r="28" spans="1:4" s="31" customFormat="1" x14ac:dyDescent="0.3">
      <c r="A28" s="31" t="s">
        <v>35</v>
      </c>
      <c r="B28" s="37">
        <v>177.59193212000014</v>
      </c>
      <c r="C28" s="37">
        <v>-28.891616415360204</v>
      </c>
      <c r="D28" s="37">
        <v>9.5535183379900559</v>
      </c>
    </row>
    <row r="29" spans="1:4" s="31" customFormat="1" x14ac:dyDescent="0.3">
      <c r="A29" s="41" t="s">
        <v>36</v>
      </c>
      <c r="B29" s="59">
        <v>379.09193212000014</v>
      </c>
      <c r="C29" s="59">
        <v>350.20031570463993</v>
      </c>
      <c r="D29" s="59">
        <v>359.75383404262999</v>
      </c>
    </row>
  </sheetData>
  <mergeCells count="2">
    <mergeCell ref="A1:J1"/>
    <mergeCell ref="A2:J2"/>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Sheet2</vt:lpstr>
      <vt:lpstr>Sheet1</vt:lpstr>
      <vt:lpstr>Exhibit 1</vt:lpstr>
      <vt:lpstr>Exhibit 2</vt:lpstr>
      <vt:lpstr>Exhibit 3</vt:lpstr>
      <vt:lpstr>Exhibit 4</vt:lpstr>
      <vt:lpstr>Exhibit 5</vt:lpstr>
      <vt:lpstr>Exhibit 6</vt:lpstr>
      <vt:lpstr>Exhibit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Allen Fu</dc:creator>
  <cp:lastModifiedBy>Edward Bodmer</cp:lastModifiedBy>
  <cp:lastPrinted>2018-04-02T16:32:01Z</cp:lastPrinted>
  <dcterms:created xsi:type="dcterms:W3CDTF">2018-03-11T01:41:21Z</dcterms:created>
  <dcterms:modified xsi:type="dcterms:W3CDTF">2022-08-31T02:40:01Z</dcterms:modified>
</cp:coreProperties>
</file>