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B. Project Finance Models and Exercises/G. Financial Modelling Interview Exams/US Modelling Assessment/"/>
    </mc:Choice>
  </mc:AlternateContent>
  <xr:revisionPtr revIDLastSave="23" documentId="8_{AE6C134D-B617-4344-AF32-BE42BF511D2C}" xr6:coauthVersionLast="47" xr6:coauthVersionMax="47" xr10:uidLastSave="{A47A8B1E-EEBA-4449-90C2-77ADB3EA37C9}"/>
  <bookViews>
    <workbookView xWindow="-110" yWindow="-110" windowWidth="19420" windowHeight="11620" xr2:uid="{7D455BC2-7102-4A58-AD8F-39A91B4AFA19}"/>
  </bookViews>
  <sheets>
    <sheet name="Outputs" sheetId="2" r:id="rId1"/>
    <sheet name="Inputs" sheetId="1" r:id="rId2"/>
    <sheet name="SPV Operating Cash" sheetId="3" r:id="rId3"/>
    <sheet name="Taxes" sheetId="4" r:id="rId4"/>
    <sheet name="Allocation" sheetId="5" r:id="rId5"/>
    <sheet name="Back Leverage" sheetId="6" r:id="rId6"/>
  </sheets>
  <calcPr calcId="191029" calcMode="autoNoTable" iterateCount="1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6" l="1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K54" i="6"/>
  <c r="J48" i="6"/>
  <c r="G48" i="6"/>
  <c r="J20" i="6"/>
  <c r="J46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J18" i="6"/>
  <c r="J19" i="6"/>
  <c r="J17" i="6"/>
  <c r="AR38" i="6"/>
  <c r="K28" i="6"/>
  <c r="N28" i="6" s="1"/>
  <c r="Q28" i="6" s="1"/>
  <c r="T28" i="6" s="1"/>
  <c r="W28" i="6" s="1"/>
  <c r="Z28" i="6" s="1"/>
  <c r="AC28" i="6" s="1"/>
  <c r="AF28" i="6" s="1"/>
  <c r="AI28" i="6" s="1"/>
  <c r="AL28" i="6" s="1"/>
  <c r="AO28" i="6" s="1"/>
  <c r="AR28" i="6" s="1"/>
  <c r="L28" i="6"/>
  <c r="O28" i="6" s="1"/>
  <c r="J27" i="6"/>
  <c r="G31" i="6"/>
  <c r="J31" i="6" s="1"/>
  <c r="G25" i="6"/>
  <c r="G23" i="6"/>
  <c r="G22" i="6"/>
  <c r="J11" i="6"/>
  <c r="J121" i="5"/>
  <c r="G120" i="5"/>
  <c r="G119" i="5"/>
  <c r="F120" i="5"/>
  <c r="E4" i="2"/>
  <c r="J111" i="5"/>
  <c r="G103" i="5"/>
  <c r="G65" i="5"/>
  <c r="G68" i="5"/>
  <c r="J76" i="5"/>
  <c r="F77" i="5"/>
  <c r="J4" i="2"/>
  <c r="G55" i="5"/>
  <c r="E8" i="2"/>
  <c r="E7" i="2"/>
  <c r="G38" i="5"/>
  <c r="H21" i="5"/>
  <c r="H22" i="5" s="1"/>
  <c r="G112" i="5" s="1"/>
  <c r="G21" i="5"/>
  <c r="F88" i="5" s="1"/>
  <c r="H18" i="5"/>
  <c r="H19" i="5" s="1"/>
  <c r="G18" i="5"/>
  <c r="G19" i="5" s="1"/>
  <c r="F119" i="5" s="1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J15" i="5"/>
  <c r="K14" i="5"/>
  <c r="K25" i="5" s="1"/>
  <c r="K64" i="5" s="1"/>
  <c r="L14" i="5"/>
  <c r="L25" i="5" s="1"/>
  <c r="L64" i="5" s="1"/>
  <c r="M14" i="5"/>
  <c r="M25" i="5" s="1"/>
  <c r="M64" i="5" s="1"/>
  <c r="N14" i="5"/>
  <c r="N25" i="5" s="1"/>
  <c r="N64" i="5" s="1"/>
  <c r="O14" i="5"/>
  <c r="O25" i="5" s="1"/>
  <c r="O64" i="5" s="1"/>
  <c r="P14" i="5"/>
  <c r="P25" i="5" s="1"/>
  <c r="P64" i="5" s="1"/>
  <c r="Q14" i="5"/>
  <c r="Q25" i="5" s="1"/>
  <c r="Q64" i="5" s="1"/>
  <c r="R14" i="5"/>
  <c r="R25" i="5" s="1"/>
  <c r="R64" i="5" s="1"/>
  <c r="S14" i="5"/>
  <c r="S25" i="5" s="1"/>
  <c r="S64" i="5" s="1"/>
  <c r="T14" i="5"/>
  <c r="T25" i="5" s="1"/>
  <c r="T64" i="5" s="1"/>
  <c r="U14" i="5"/>
  <c r="U25" i="5" s="1"/>
  <c r="U64" i="5" s="1"/>
  <c r="V14" i="5"/>
  <c r="V25" i="5" s="1"/>
  <c r="V64" i="5" s="1"/>
  <c r="W14" i="5"/>
  <c r="W25" i="5" s="1"/>
  <c r="W64" i="5" s="1"/>
  <c r="X14" i="5"/>
  <c r="X25" i="5" s="1"/>
  <c r="X64" i="5" s="1"/>
  <c r="Y14" i="5"/>
  <c r="Y25" i="5" s="1"/>
  <c r="Y64" i="5" s="1"/>
  <c r="Z14" i="5"/>
  <c r="Z25" i="5" s="1"/>
  <c r="Z64" i="5" s="1"/>
  <c r="AA14" i="5"/>
  <c r="AA25" i="5" s="1"/>
  <c r="AA64" i="5" s="1"/>
  <c r="AB14" i="5"/>
  <c r="AB25" i="5" s="1"/>
  <c r="AB64" i="5" s="1"/>
  <c r="AC14" i="5"/>
  <c r="AC25" i="5" s="1"/>
  <c r="AC64" i="5" s="1"/>
  <c r="AD14" i="5"/>
  <c r="AD25" i="5" s="1"/>
  <c r="AD64" i="5" s="1"/>
  <c r="AE14" i="5"/>
  <c r="AE25" i="5" s="1"/>
  <c r="AE64" i="5" s="1"/>
  <c r="AF14" i="5"/>
  <c r="AF25" i="5" s="1"/>
  <c r="AF64" i="5" s="1"/>
  <c r="AG14" i="5"/>
  <c r="AG25" i="5" s="1"/>
  <c r="AG64" i="5" s="1"/>
  <c r="AH14" i="5"/>
  <c r="AH25" i="5" s="1"/>
  <c r="AH64" i="5" s="1"/>
  <c r="AI14" i="5"/>
  <c r="AI25" i="5" s="1"/>
  <c r="AI64" i="5" s="1"/>
  <c r="AJ14" i="5"/>
  <c r="AJ25" i="5" s="1"/>
  <c r="AJ64" i="5" s="1"/>
  <c r="AK14" i="5"/>
  <c r="AK25" i="5" s="1"/>
  <c r="AK64" i="5" s="1"/>
  <c r="AL14" i="5"/>
  <c r="AL25" i="5" s="1"/>
  <c r="AL64" i="5" s="1"/>
  <c r="AM14" i="5"/>
  <c r="AM25" i="5" s="1"/>
  <c r="AM64" i="5" s="1"/>
  <c r="AN14" i="5"/>
  <c r="AN25" i="5" s="1"/>
  <c r="AN64" i="5" s="1"/>
  <c r="AO14" i="5"/>
  <c r="AO25" i="5" s="1"/>
  <c r="AO64" i="5" s="1"/>
  <c r="AP14" i="5"/>
  <c r="AP25" i="5" s="1"/>
  <c r="AP64" i="5" s="1"/>
  <c r="AQ14" i="5"/>
  <c r="AQ25" i="5" s="1"/>
  <c r="AQ64" i="5" s="1"/>
  <c r="AR14" i="5"/>
  <c r="AR25" i="5" s="1"/>
  <c r="AR64" i="5" s="1"/>
  <c r="AS14" i="5"/>
  <c r="AS25" i="5" s="1"/>
  <c r="AS64" i="5" s="1"/>
  <c r="J14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J13" i="5"/>
  <c r="K12" i="5"/>
  <c r="L12" i="5"/>
  <c r="M12" i="5"/>
  <c r="M52" i="5" s="1"/>
  <c r="N12" i="5"/>
  <c r="N52" i="5" s="1"/>
  <c r="O12" i="5"/>
  <c r="P12" i="5"/>
  <c r="Q12" i="5"/>
  <c r="Q52" i="5" s="1"/>
  <c r="R12" i="5"/>
  <c r="R52" i="5" s="1"/>
  <c r="S12" i="5"/>
  <c r="T12" i="5"/>
  <c r="U12" i="5"/>
  <c r="U52" i="5" s="1"/>
  <c r="V12" i="5"/>
  <c r="V52" i="5" s="1"/>
  <c r="W12" i="5"/>
  <c r="W26" i="5" s="1"/>
  <c r="W62" i="5" s="1"/>
  <c r="X12" i="5"/>
  <c r="Y12" i="5"/>
  <c r="Z12" i="5"/>
  <c r="Z52" i="5" s="1"/>
  <c r="AA12" i="5"/>
  <c r="AB12" i="5"/>
  <c r="AC12" i="5"/>
  <c r="AC46" i="5" s="1"/>
  <c r="AD12" i="5"/>
  <c r="AE12" i="5"/>
  <c r="AF12" i="5"/>
  <c r="AG12" i="5"/>
  <c r="AG46" i="5" s="1"/>
  <c r="AH12" i="5"/>
  <c r="AH46" i="5" s="1"/>
  <c r="AI12" i="5"/>
  <c r="AJ12" i="5"/>
  <c r="AK12" i="5"/>
  <c r="AK46" i="5" s="1"/>
  <c r="AL12" i="5"/>
  <c r="AL46" i="5" s="1"/>
  <c r="AM12" i="5"/>
  <c r="AM26" i="5" s="1"/>
  <c r="AM62" i="5" s="1"/>
  <c r="AN12" i="5"/>
  <c r="AO12" i="5"/>
  <c r="AP12" i="5"/>
  <c r="AQ12" i="5"/>
  <c r="AR12" i="5"/>
  <c r="AS12" i="5"/>
  <c r="AS46" i="5" s="1"/>
  <c r="J12" i="5"/>
  <c r="G9" i="5"/>
  <c r="K9" i="5" s="1"/>
  <c r="F47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J46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J44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J43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J41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J40" i="4"/>
  <c r="G40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J38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J37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J36" i="4"/>
  <c r="I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J33" i="4"/>
  <c r="I32" i="4"/>
  <c r="I31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J32" i="4"/>
  <c r="J31" i="4"/>
  <c r="I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J29" i="4"/>
  <c r="H29" i="4"/>
  <c r="G29" i="4"/>
  <c r="I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J27" i="4"/>
  <c r="K26" i="4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J26" i="4"/>
  <c r="F20" i="4"/>
  <c r="G16" i="4"/>
  <c r="G15" i="4"/>
  <c r="H7" i="6"/>
  <c r="G6" i="6"/>
  <c r="AR6" i="6" s="1"/>
  <c r="J4" i="6"/>
  <c r="K3" i="6" s="1"/>
  <c r="K4" i="6" s="1"/>
  <c r="L3" i="6" s="1"/>
  <c r="L4" i="6" s="1"/>
  <c r="M3" i="6" s="1"/>
  <c r="M4" i="6" s="1"/>
  <c r="N3" i="6" s="1"/>
  <c r="N4" i="6" s="1"/>
  <c r="O3" i="6" s="1"/>
  <c r="O4" i="6" s="1"/>
  <c r="P3" i="6" s="1"/>
  <c r="P4" i="6" s="1"/>
  <c r="Q3" i="6" s="1"/>
  <c r="Q4" i="6" s="1"/>
  <c r="R3" i="6" s="1"/>
  <c r="R4" i="6" s="1"/>
  <c r="S3" i="6" s="1"/>
  <c r="S4" i="6" s="1"/>
  <c r="T3" i="6" s="1"/>
  <c r="T4" i="6" s="1"/>
  <c r="U3" i="6" s="1"/>
  <c r="U4" i="6" s="1"/>
  <c r="V3" i="6" s="1"/>
  <c r="V4" i="6" s="1"/>
  <c r="W3" i="6" s="1"/>
  <c r="W4" i="6" s="1"/>
  <c r="X3" i="6" s="1"/>
  <c r="X4" i="6" s="1"/>
  <c r="Y3" i="6" s="1"/>
  <c r="Y4" i="6" s="1"/>
  <c r="Z3" i="6" s="1"/>
  <c r="Z4" i="6" s="1"/>
  <c r="AA3" i="6" s="1"/>
  <c r="AA4" i="6" s="1"/>
  <c r="AB3" i="6" s="1"/>
  <c r="AB4" i="6" s="1"/>
  <c r="AC3" i="6" s="1"/>
  <c r="AC4" i="6" s="1"/>
  <c r="AD3" i="6" s="1"/>
  <c r="AD4" i="6" s="1"/>
  <c r="AE3" i="6" s="1"/>
  <c r="AE4" i="6" s="1"/>
  <c r="AF3" i="6" s="1"/>
  <c r="AF4" i="6" s="1"/>
  <c r="AG3" i="6" s="1"/>
  <c r="AG4" i="6" s="1"/>
  <c r="AH3" i="6" s="1"/>
  <c r="AH4" i="6" s="1"/>
  <c r="AI3" i="6" s="1"/>
  <c r="AI4" i="6" s="1"/>
  <c r="AJ3" i="6" s="1"/>
  <c r="AJ4" i="6" s="1"/>
  <c r="AK3" i="6" s="1"/>
  <c r="AK4" i="6" s="1"/>
  <c r="AL3" i="6" s="1"/>
  <c r="AL4" i="6" s="1"/>
  <c r="AM3" i="6" s="1"/>
  <c r="AM4" i="6" s="1"/>
  <c r="AN3" i="6" s="1"/>
  <c r="AN4" i="6" s="1"/>
  <c r="AO3" i="6" s="1"/>
  <c r="AO4" i="6" s="1"/>
  <c r="AP3" i="6" s="1"/>
  <c r="AP4" i="6" s="1"/>
  <c r="AQ3" i="6" s="1"/>
  <c r="AQ4" i="6" s="1"/>
  <c r="AR3" i="6" s="1"/>
  <c r="AR4" i="6" s="1"/>
  <c r="AS3" i="6" s="1"/>
  <c r="AS4" i="6" s="1"/>
  <c r="H7" i="5"/>
  <c r="G6" i="5"/>
  <c r="G7" i="5" s="1"/>
  <c r="J4" i="5"/>
  <c r="K3" i="5" s="1"/>
  <c r="K4" i="5" s="1"/>
  <c r="L3" i="5" s="1"/>
  <c r="L4" i="5" s="1"/>
  <c r="M3" i="5" s="1"/>
  <c r="M4" i="5" s="1"/>
  <c r="N3" i="5" s="1"/>
  <c r="N4" i="5" s="1"/>
  <c r="O3" i="5" s="1"/>
  <c r="O4" i="5" s="1"/>
  <c r="P3" i="5" s="1"/>
  <c r="P4" i="5" s="1"/>
  <c r="Q3" i="5" s="1"/>
  <c r="Q4" i="5" s="1"/>
  <c r="R3" i="5" s="1"/>
  <c r="R4" i="5" s="1"/>
  <c r="S3" i="5" s="1"/>
  <c r="S4" i="5" s="1"/>
  <c r="T3" i="5" s="1"/>
  <c r="T4" i="5" s="1"/>
  <c r="U3" i="5" s="1"/>
  <c r="U4" i="5" s="1"/>
  <c r="V3" i="5" s="1"/>
  <c r="V4" i="5" s="1"/>
  <c r="W3" i="5" s="1"/>
  <c r="W4" i="5" s="1"/>
  <c r="X3" i="5" s="1"/>
  <c r="X4" i="5" s="1"/>
  <c r="Y3" i="5" s="1"/>
  <c r="Y4" i="5" s="1"/>
  <c r="Z3" i="5" s="1"/>
  <c r="Z4" i="5" s="1"/>
  <c r="AA3" i="5" s="1"/>
  <c r="AA4" i="5" s="1"/>
  <c r="AB3" i="5" s="1"/>
  <c r="AB4" i="5" s="1"/>
  <c r="AC3" i="5" s="1"/>
  <c r="AC4" i="5" s="1"/>
  <c r="AD3" i="5" s="1"/>
  <c r="AD4" i="5" s="1"/>
  <c r="AE3" i="5" s="1"/>
  <c r="AE4" i="5" s="1"/>
  <c r="AF3" i="5" s="1"/>
  <c r="AF4" i="5" s="1"/>
  <c r="AG3" i="5" s="1"/>
  <c r="AG4" i="5" s="1"/>
  <c r="AH3" i="5" s="1"/>
  <c r="AH4" i="5" s="1"/>
  <c r="AI3" i="5" s="1"/>
  <c r="AI4" i="5" s="1"/>
  <c r="AJ3" i="5" s="1"/>
  <c r="AJ4" i="5" s="1"/>
  <c r="AK3" i="5" s="1"/>
  <c r="AK4" i="5" s="1"/>
  <c r="AL3" i="5" s="1"/>
  <c r="AL4" i="5" s="1"/>
  <c r="AM3" i="5" s="1"/>
  <c r="AM4" i="5" s="1"/>
  <c r="AN3" i="5" s="1"/>
  <c r="AN4" i="5" s="1"/>
  <c r="AO3" i="5" s="1"/>
  <c r="AO4" i="5" s="1"/>
  <c r="AP3" i="5" s="1"/>
  <c r="AP4" i="5" s="1"/>
  <c r="AQ3" i="5" s="1"/>
  <c r="AQ4" i="5" s="1"/>
  <c r="AR3" i="5" s="1"/>
  <c r="AR4" i="5" s="1"/>
  <c r="AS3" i="5" s="1"/>
  <c r="AS4" i="5" s="1"/>
  <c r="H7" i="4"/>
  <c r="G6" i="4"/>
  <c r="G7" i="4" s="1"/>
  <c r="J4" i="4"/>
  <c r="K3" i="4" s="1"/>
  <c r="K4" i="4" s="1"/>
  <c r="L3" i="4" s="1"/>
  <c r="L4" i="4" s="1"/>
  <c r="M3" i="4" s="1"/>
  <c r="M4" i="4" s="1"/>
  <c r="N3" i="4" s="1"/>
  <c r="N4" i="4" s="1"/>
  <c r="O3" i="4" s="1"/>
  <c r="O4" i="4" s="1"/>
  <c r="P3" i="4" s="1"/>
  <c r="P4" i="4" s="1"/>
  <c r="Q3" i="4" s="1"/>
  <c r="Q4" i="4" s="1"/>
  <c r="R3" i="4" s="1"/>
  <c r="R4" i="4" s="1"/>
  <c r="S3" i="4" s="1"/>
  <c r="S4" i="4" s="1"/>
  <c r="T3" i="4" s="1"/>
  <c r="T4" i="4" s="1"/>
  <c r="U3" i="4" s="1"/>
  <c r="U4" i="4" s="1"/>
  <c r="V3" i="4" s="1"/>
  <c r="V4" i="4" s="1"/>
  <c r="W3" i="4" s="1"/>
  <c r="W4" i="4" s="1"/>
  <c r="X3" i="4" s="1"/>
  <c r="X4" i="4" s="1"/>
  <c r="Y3" i="4" s="1"/>
  <c r="Y4" i="4" s="1"/>
  <c r="Z3" i="4" s="1"/>
  <c r="Z4" i="4" s="1"/>
  <c r="AA3" i="4" s="1"/>
  <c r="AA4" i="4" s="1"/>
  <c r="AB3" i="4" s="1"/>
  <c r="AB4" i="4" s="1"/>
  <c r="AC3" i="4" s="1"/>
  <c r="AC4" i="4" s="1"/>
  <c r="AD3" i="4" s="1"/>
  <c r="AD4" i="4" s="1"/>
  <c r="AE3" i="4" s="1"/>
  <c r="AE4" i="4" s="1"/>
  <c r="AF3" i="4" s="1"/>
  <c r="AF4" i="4" s="1"/>
  <c r="AG3" i="4" s="1"/>
  <c r="AG4" i="4" s="1"/>
  <c r="AH3" i="4" s="1"/>
  <c r="AH4" i="4" s="1"/>
  <c r="AI3" i="4" s="1"/>
  <c r="AI4" i="4" s="1"/>
  <c r="AJ3" i="4" s="1"/>
  <c r="AJ4" i="4" s="1"/>
  <c r="AK3" i="4" s="1"/>
  <c r="AK4" i="4" s="1"/>
  <c r="AL3" i="4" s="1"/>
  <c r="AL4" i="4" s="1"/>
  <c r="AM3" i="4" s="1"/>
  <c r="AM4" i="4" s="1"/>
  <c r="AN3" i="4" s="1"/>
  <c r="AN4" i="4" s="1"/>
  <c r="AO3" i="4" s="1"/>
  <c r="AO4" i="4" s="1"/>
  <c r="AP3" i="4" s="1"/>
  <c r="AP4" i="4" s="1"/>
  <c r="AQ3" i="4" s="1"/>
  <c r="AQ4" i="4" s="1"/>
  <c r="AR3" i="4" s="1"/>
  <c r="AR4" i="4" s="1"/>
  <c r="AS3" i="4" s="1"/>
  <c r="AS4" i="4" s="1"/>
  <c r="G38" i="3"/>
  <c r="G39" i="3"/>
  <c r="G37" i="3"/>
  <c r="G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G28" i="3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G27" i="3"/>
  <c r="N27" i="3" s="1"/>
  <c r="G24" i="3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G23" i="3"/>
  <c r="S23" i="3" s="1"/>
  <c r="G21" i="3"/>
  <c r="G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G14" i="3"/>
  <c r="G11" i="3"/>
  <c r="G12" i="3" s="1"/>
  <c r="H7" i="3"/>
  <c r="G6" i="3"/>
  <c r="J4" i="3"/>
  <c r="K3" i="3" s="1"/>
  <c r="K4" i="3" s="1"/>
  <c r="L3" i="3" s="1"/>
  <c r="L4" i="3" s="1"/>
  <c r="M3" i="3" s="1"/>
  <c r="M4" i="3" s="1"/>
  <c r="N3" i="3" s="1"/>
  <c r="N4" i="3" s="1"/>
  <c r="O3" i="3" s="1"/>
  <c r="O4" i="3" s="1"/>
  <c r="P3" i="3" s="1"/>
  <c r="P4" i="3" s="1"/>
  <c r="Q3" i="3" s="1"/>
  <c r="Q4" i="3" s="1"/>
  <c r="R3" i="3" s="1"/>
  <c r="R4" i="3" s="1"/>
  <c r="S3" i="3" s="1"/>
  <c r="S4" i="3" s="1"/>
  <c r="T3" i="3" s="1"/>
  <c r="T4" i="3" s="1"/>
  <c r="U3" i="3" s="1"/>
  <c r="U4" i="3" s="1"/>
  <c r="V3" i="3" s="1"/>
  <c r="V4" i="3" s="1"/>
  <c r="W3" i="3" s="1"/>
  <c r="W4" i="3" s="1"/>
  <c r="X3" i="3" s="1"/>
  <c r="X4" i="3" s="1"/>
  <c r="Y3" i="3" s="1"/>
  <c r="Y4" i="3" s="1"/>
  <c r="Z3" i="3" s="1"/>
  <c r="Z4" i="3" s="1"/>
  <c r="AA3" i="3" s="1"/>
  <c r="AA4" i="3" s="1"/>
  <c r="AB3" i="3" s="1"/>
  <c r="AB4" i="3" s="1"/>
  <c r="AC3" i="3" s="1"/>
  <c r="AC4" i="3" s="1"/>
  <c r="AD3" i="3" s="1"/>
  <c r="AD4" i="3" s="1"/>
  <c r="AE3" i="3" s="1"/>
  <c r="AE4" i="3" s="1"/>
  <c r="AF3" i="3" s="1"/>
  <c r="AF4" i="3" s="1"/>
  <c r="AG3" i="3" s="1"/>
  <c r="AG4" i="3" s="1"/>
  <c r="AH3" i="3" s="1"/>
  <c r="AH4" i="3" s="1"/>
  <c r="AI3" i="3" s="1"/>
  <c r="AI4" i="3" s="1"/>
  <c r="AJ3" i="3" s="1"/>
  <c r="AJ4" i="3" s="1"/>
  <c r="AK3" i="3" s="1"/>
  <c r="AK4" i="3" s="1"/>
  <c r="AL3" i="3" s="1"/>
  <c r="AL4" i="3" s="1"/>
  <c r="AM3" i="3" s="1"/>
  <c r="AM4" i="3" s="1"/>
  <c r="AN3" i="3" s="1"/>
  <c r="AN4" i="3" s="1"/>
  <c r="AO3" i="3" s="1"/>
  <c r="AO4" i="3" s="1"/>
  <c r="AP3" i="3" s="1"/>
  <c r="AP4" i="3" s="1"/>
  <c r="AQ3" i="3" s="1"/>
  <c r="AQ4" i="3" s="1"/>
  <c r="AR3" i="3" s="1"/>
  <c r="AR4" i="3" s="1"/>
  <c r="AS3" i="3" s="1"/>
  <c r="AS4" i="3" s="1"/>
  <c r="I51" i="1"/>
  <c r="J51" i="1"/>
  <c r="K51" i="1"/>
  <c r="L51" i="1"/>
  <c r="M51" i="1"/>
  <c r="H51" i="1"/>
  <c r="F35" i="1"/>
  <c r="G34" i="5" s="1"/>
  <c r="H3" i="5" s="1"/>
  <c r="AF38" i="6" l="1"/>
  <c r="T38" i="6"/>
  <c r="R28" i="6"/>
  <c r="O38" i="6"/>
  <c r="L38" i="6"/>
  <c r="AI38" i="6"/>
  <c r="W38" i="6"/>
  <c r="K38" i="6"/>
  <c r="AL38" i="6"/>
  <c r="Z38" i="6"/>
  <c r="N38" i="6"/>
  <c r="AO38" i="6"/>
  <c r="AC38" i="6"/>
  <c r="Q38" i="6"/>
  <c r="M22" i="6"/>
  <c r="Q22" i="6"/>
  <c r="U22" i="6"/>
  <c r="Y22" i="6"/>
  <c r="AC22" i="6"/>
  <c r="AC23" i="6" s="1"/>
  <c r="AC39" i="6" s="1"/>
  <c r="AC56" i="6" s="1"/>
  <c r="AG22" i="6"/>
  <c r="AG23" i="6" s="1"/>
  <c r="AG39" i="6" s="1"/>
  <c r="AG56" i="6" s="1"/>
  <c r="AK22" i="6"/>
  <c r="AK23" i="6" s="1"/>
  <c r="AK39" i="6" s="1"/>
  <c r="AK56" i="6" s="1"/>
  <c r="AO22" i="6"/>
  <c r="AO23" i="6" s="1"/>
  <c r="AO39" i="6" s="1"/>
  <c r="AO56" i="6" s="1"/>
  <c r="AS22" i="6"/>
  <c r="AS23" i="6" s="1"/>
  <c r="AS39" i="6" s="1"/>
  <c r="AS56" i="6" s="1"/>
  <c r="N22" i="6"/>
  <c r="V22" i="6"/>
  <c r="AD22" i="6"/>
  <c r="AD23" i="6" s="1"/>
  <c r="AD39" i="6" s="1"/>
  <c r="AD56" i="6" s="1"/>
  <c r="AH22" i="6"/>
  <c r="AH23" i="6" s="1"/>
  <c r="AH39" i="6" s="1"/>
  <c r="AH56" i="6" s="1"/>
  <c r="AP22" i="6"/>
  <c r="AP23" i="6" s="1"/>
  <c r="AP39" i="6" s="1"/>
  <c r="AP56" i="6" s="1"/>
  <c r="K22" i="6"/>
  <c r="O22" i="6"/>
  <c r="S22" i="6"/>
  <c r="W22" i="6"/>
  <c r="AA22" i="6"/>
  <c r="AE22" i="6"/>
  <c r="AE23" i="6" s="1"/>
  <c r="AE39" i="6" s="1"/>
  <c r="AE56" i="6" s="1"/>
  <c r="AI22" i="6"/>
  <c r="AI23" i="6" s="1"/>
  <c r="AI39" i="6" s="1"/>
  <c r="AI56" i="6" s="1"/>
  <c r="AM22" i="6"/>
  <c r="AM23" i="6" s="1"/>
  <c r="AM39" i="6" s="1"/>
  <c r="AM56" i="6" s="1"/>
  <c r="AQ22" i="6"/>
  <c r="AQ23" i="6" s="1"/>
  <c r="AQ39" i="6" s="1"/>
  <c r="AQ56" i="6" s="1"/>
  <c r="J22" i="6"/>
  <c r="R22" i="6"/>
  <c r="Z22" i="6"/>
  <c r="AL22" i="6"/>
  <c r="AL23" i="6" s="1"/>
  <c r="AL39" i="6" s="1"/>
  <c r="AL56" i="6" s="1"/>
  <c r="L22" i="6"/>
  <c r="P22" i="6"/>
  <c r="T22" i="6"/>
  <c r="X22" i="6"/>
  <c r="AB22" i="6"/>
  <c r="AF22" i="6"/>
  <c r="AF23" i="6" s="1"/>
  <c r="AF39" i="6" s="1"/>
  <c r="AF56" i="6" s="1"/>
  <c r="AJ22" i="6"/>
  <c r="AJ23" i="6" s="1"/>
  <c r="AJ39" i="6" s="1"/>
  <c r="AJ56" i="6" s="1"/>
  <c r="AN22" i="6"/>
  <c r="AN23" i="6" s="1"/>
  <c r="AN39" i="6" s="1"/>
  <c r="AN56" i="6" s="1"/>
  <c r="AR22" i="6"/>
  <c r="AR23" i="6" s="1"/>
  <c r="AR39" i="6" s="1"/>
  <c r="AR56" i="6" s="1"/>
  <c r="F99" i="5"/>
  <c r="F100" i="5"/>
  <c r="R46" i="5"/>
  <c r="J77" i="5"/>
  <c r="Q46" i="5"/>
  <c r="M46" i="5"/>
  <c r="V46" i="5"/>
  <c r="AE24" i="5"/>
  <c r="AE63" i="5" s="1"/>
  <c r="AE52" i="5"/>
  <c r="AE46" i="5"/>
  <c r="AA24" i="5"/>
  <c r="AA63" i="5" s="1"/>
  <c r="AA52" i="5"/>
  <c r="AA46" i="5"/>
  <c r="S24" i="5"/>
  <c r="S63" i="5" s="1"/>
  <c r="S46" i="5"/>
  <c r="S52" i="5"/>
  <c r="W46" i="5"/>
  <c r="AQ24" i="5"/>
  <c r="AQ63" i="5" s="1"/>
  <c r="AQ52" i="5"/>
  <c r="AQ46" i="5"/>
  <c r="AI24" i="5"/>
  <c r="AI63" i="5" s="1"/>
  <c r="AI46" i="5"/>
  <c r="AI26" i="5"/>
  <c r="AI62" i="5" s="1"/>
  <c r="AI52" i="5"/>
  <c r="O24" i="5"/>
  <c r="O63" i="5" s="1"/>
  <c r="O52" i="5"/>
  <c r="O46" i="5"/>
  <c r="K26" i="5"/>
  <c r="K62" i="5" s="1"/>
  <c r="K24" i="5"/>
  <c r="K63" i="5" s="1"/>
  <c r="K52" i="5"/>
  <c r="K46" i="5"/>
  <c r="W52" i="5"/>
  <c r="AM46" i="5"/>
  <c r="AR26" i="5"/>
  <c r="AR62" i="5" s="1"/>
  <c r="AR52" i="5"/>
  <c r="AR46" i="5"/>
  <c r="AN26" i="5"/>
  <c r="AN62" i="5" s="1"/>
  <c r="AN52" i="5"/>
  <c r="AN46" i="5"/>
  <c r="AJ26" i="5"/>
  <c r="AJ62" i="5" s="1"/>
  <c r="AJ52" i="5"/>
  <c r="AJ46" i="5"/>
  <c r="AF26" i="5"/>
  <c r="AF62" i="5" s="1"/>
  <c r="AF52" i="5"/>
  <c r="AF46" i="5"/>
  <c r="AB26" i="5"/>
  <c r="AB62" i="5" s="1"/>
  <c r="AB52" i="5"/>
  <c r="AB46" i="5"/>
  <c r="X52" i="5"/>
  <c r="X46" i="5"/>
  <c r="T52" i="5"/>
  <c r="T46" i="5"/>
  <c r="P52" i="5"/>
  <c r="P46" i="5"/>
  <c r="L52" i="5"/>
  <c r="L46" i="5"/>
  <c r="G22" i="5"/>
  <c r="F67" i="5"/>
  <c r="AM67" i="5" s="1"/>
  <c r="AM52" i="5"/>
  <c r="J26" i="5"/>
  <c r="J62" i="5" s="1"/>
  <c r="J87" i="5" s="1"/>
  <c r="J52" i="5"/>
  <c r="J93" i="5" s="1"/>
  <c r="J119" i="5" s="1"/>
  <c r="AP26" i="5"/>
  <c r="AP62" i="5" s="1"/>
  <c r="AP52" i="5"/>
  <c r="AL26" i="5"/>
  <c r="AL62" i="5" s="1"/>
  <c r="AL52" i="5"/>
  <c r="AH26" i="5"/>
  <c r="AH62" i="5" s="1"/>
  <c r="AH52" i="5"/>
  <c r="AD26" i="5"/>
  <c r="AD62" i="5" s="1"/>
  <c r="AD52" i="5"/>
  <c r="AP46" i="5"/>
  <c r="Z46" i="5"/>
  <c r="U46" i="5"/>
  <c r="AS26" i="5"/>
  <c r="AS62" i="5" s="1"/>
  <c r="AS52" i="5"/>
  <c r="AO26" i="5"/>
  <c r="AO62" i="5" s="1"/>
  <c r="AO52" i="5"/>
  <c r="AK26" i="5"/>
  <c r="AK62" i="5" s="1"/>
  <c r="AK52" i="5"/>
  <c r="AG26" i="5"/>
  <c r="AG62" i="5" s="1"/>
  <c r="AG52" i="5"/>
  <c r="AC26" i="5"/>
  <c r="AC62" i="5" s="1"/>
  <c r="AC52" i="5"/>
  <c r="Y26" i="5"/>
  <c r="Y62" i="5" s="1"/>
  <c r="Y52" i="5"/>
  <c r="J46" i="5"/>
  <c r="AO46" i="5"/>
  <c r="AD46" i="5"/>
  <c r="Y46" i="5"/>
  <c r="N46" i="5"/>
  <c r="F68" i="5"/>
  <c r="F69" i="5" s="1"/>
  <c r="O69" i="5" s="1"/>
  <c r="E3" i="2"/>
  <c r="Y24" i="5"/>
  <c r="Y63" i="5" s="1"/>
  <c r="S26" i="5"/>
  <c r="S62" i="5" s="1"/>
  <c r="K21" i="5"/>
  <c r="U26" i="5"/>
  <c r="U62" i="5" s="1"/>
  <c r="U24" i="5"/>
  <c r="U63" i="5" s="1"/>
  <c r="Q26" i="5"/>
  <c r="Q62" i="5" s="1"/>
  <c r="Q24" i="5"/>
  <c r="Q63" i="5" s="1"/>
  <c r="M26" i="5"/>
  <c r="M62" i="5" s="1"/>
  <c r="M24" i="5"/>
  <c r="M63" i="5" s="1"/>
  <c r="AS24" i="5"/>
  <c r="AS63" i="5" s="1"/>
  <c r="AO24" i="5"/>
  <c r="AO63" i="5" s="1"/>
  <c r="AK24" i="5"/>
  <c r="AK63" i="5" s="1"/>
  <c r="AG24" i="5"/>
  <c r="AG63" i="5" s="1"/>
  <c r="AC24" i="5"/>
  <c r="AC63" i="5" s="1"/>
  <c r="W24" i="5"/>
  <c r="W63" i="5" s="1"/>
  <c r="AE26" i="5"/>
  <c r="AE62" i="5" s="1"/>
  <c r="O26" i="5"/>
  <c r="O62" i="5" s="1"/>
  <c r="Z26" i="5"/>
  <c r="Z62" i="5" s="1"/>
  <c r="Z24" i="5"/>
  <c r="Z63" i="5" s="1"/>
  <c r="R26" i="5"/>
  <c r="R62" i="5" s="1"/>
  <c r="R24" i="5"/>
  <c r="R63" i="5" s="1"/>
  <c r="H34" i="5"/>
  <c r="J25" i="5"/>
  <c r="J24" i="5"/>
  <c r="J63" i="5" s="1"/>
  <c r="J96" i="5" s="1"/>
  <c r="AL24" i="5"/>
  <c r="AL63" i="5" s="1"/>
  <c r="AD24" i="5"/>
  <c r="AD63" i="5" s="1"/>
  <c r="X26" i="5"/>
  <c r="X62" i="5" s="1"/>
  <c r="X24" i="5"/>
  <c r="X63" i="5" s="1"/>
  <c r="T26" i="5"/>
  <c r="T62" i="5" s="1"/>
  <c r="T24" i="5"/>
  <c r="T63" i="5" s="1"/>
  <c r="P26" i="5"/>
  <c r="P62" i="5" s="1"/>
  <c r="P24" i="5"/>
  <c r="P63" i="5" s="1"/>
  <c r="L26" i="5"/>
  <c r="L62" i="5" s="1"/>
  <c r="L24" i="5"/>
  <c r="L63" i="5" s="1"/>
  <c r="AR24" i="5"/>
  <c r="AR63" i="5" s="1"/>
  <c r="AN24" i="5"/>
  <c r="AN63" i="5" s="1"/>
  <c r="AJ24" i="5"/>
  <c r="AJ63" i="5" s="1"/>
  <c r="AF24" i="5"/>
  <c r="AF63" i="5" s="1"/>
  <c r="AB24" i="5"/>
  <c r="AB63" i="5" s="1"/>
  <c r="AQ26" i="5"/>
  <c r="AQ62" i="5" s="1"/>
  <c r="AA26" i="5"/>
  <c r="AA62" i="5" s="1"/>
  <c r="V26" i="5"/>
  <c r="V62" i="5" s="1"/>
  <c r="V24" i="5"/>
  <c r="V63" i="5" s="1"/>
  <c r="N26" i="5"/>
  <c r="N62" i="5" s="1"/>
  <c r="N24" i="5"/>
  <c r="N63" i="5" s="1"/>
  <c r="AP24" i="5"/>
  <c r="AP63" i="5" s="1"/>
  <c r="AH24" i="5"/>
  <c r="AH63" i="5" s="1"/>
  <c r="K18" i="5"/>
  <c r="K32" i="5" s="1"/>
  <c r="K39" i="5" s="1"/>
  <c r="K19" i="5"/>
  <c r="AM24" i="5"/>
  <c r="AM63" i="5" s="1"/>
  <c r="AP9" i="5"/>
  <c r="AH9" i="5"/>
  <c r="Z9" i="5"/>
  <c r="R9" i="5"/>
  <c r="AO9" i="5"/>
  <c r="AG9" i="5"/>
  <c r="Y9" i="5"/>
  <c r="Q9" i="5"/>
  <c r="J9" i="5"/>
  <c r="AL9" i="5"/>
  <c r="AD9" i="5"/>
  <c r="V9" i="5"/>
  <c r="N9" i="5"/>
  <c r="AS9" i="5"/>
  <c r="AK9" i="5"/>
  <c r="AC9" i="5"/>
  <c r="U9" i="5"/>
  <c r="M9" i="5"/>
  <c r="AR9" i="5"/>
  <c r="AN9" i="5"/>
  <c r="AJ9" i="5"/>
  <c r="AF9" i="5"/>
  <c r="AB9" i="5"/>
  <c r="X9" i="5"/>
  <c r="T9" i="5"/>
  <c r="P9" i="5"/>
  <c r="L9" i="5"/>
  <c r="AQ9" i="5"/>
  <c r="AM9" i="5"/>
  <c r="AI9" i="5"/>
  <c r="AE9" i="5"/>
  <c r="AA9" i="5"/>
  <c r="W9" i="5"/>
  <c r="S9" i="5"/>
  <c r="O9" i="5"/>
  <c r="AE27" i="3"/>
  <c r="Z27" i="3"/>
  <c r="Z29" i="3" s="1"/>
  <c r="J27" i="3"/>
  <c r="J29" i="3" s="1"/>
  <c r="R27" i="3"/>
  <c r="R29" i="3" s="1"/>
  <c r="V6" i="4"/>
  <c r="K6" i="6"/>
  <c r="V6" i="6"/>
  <c r="AG6" i="6"/>
  <c r="AQ6" i="6"/>
  <c r="R6" i="6"/>
  <c r="AC6" i="6"/>
  <c r="AM6" i="6"/>
  <c r="AN27" i="3"/>
  <c r="L27" i="3"/>
  <c r="AL6" i="4"/>
  <c r="M6" i="6"/>
  <c r="W6" i="6"/>
  <c r="AH6" i="6"/>
  <c r="AS6" i="6"/>
  <c r="Q6" i="6"/>
  <c r="AA6" i="6"/>
  <c r="AL6" i="6"/>
  <c r="O7" i="4"/>
  <c r="K7" i="4"/>
  <c r="AR7" i="5"/>
  <c r="AB7" i="5"/>
  <c r="L7" i="5"/>
  <c r="AQ7" i="5"/>
  <c r="AA7" i="5"/>
  <c r="K7" i="5"/>
  <c r="S7" i="5"/>
  <c r="AJ7" i="5"/>
  <c r="T7" i="5"/>
  <c r="AI7" i="5"/>
  <c r="S25" i="3"/>
  <c r="N6" i="4"/>
  <c r="AD6" i="4"/>
  <c r="N6" i="5"/>
  <c r="AD6" i="5"/>
  <c r="AS6" i="4"/>
  <c r="AQ6" i="4"/>
  <c r="AI6" i="4"/>
  <c r="AA6" i="4"/>
  <c r="S6" i="4"/>
  <c r="K6" i="4"/>
  <c r="AP6" i="4"/>
  <c r="AH6" i="4"/>
  <c r="Z6" i="4"/>
  <c r="R6" i="4"/>
  <c r="J6" i="4"/>
  <c r="W6" i="4"/>
  <c r="AM6" i="4"/>
  <c r="AS6" i="5"/>
  <c r="AQ6" i="5"/>
  <c r="AI6" i="5"/>
  <c r="AA6" i="5"/>
  <c r="S6" i="5"/>
  <c r="K6" i="5"/>
  <c r="K8" i="5" s="1"/>
  <c r="K34" i="5" s="1"/>
  <c r="AP6" i="5"/>
  <c r="AH6" i="5"/>
  <c r="Z6" i="5"/>
  <c r="R6" i="5"/>
  <c r="J6" i="5"/>
  <c r="W6" i="5"/>
  <c r="AM6" i="5"/>
  <c r="O6" i="4"/>
  <c r="AE6" i="4"/>
  <c r="O6" i="5"/>
  <c r="AE6" i="5"/>
  <c r="V6" i="5"/>
  <c r="AL6" i="5"/>
  <c r="AM27" i="3"/>
  <c r="X27" i="3"/>
  <c r="N6" i="6"/>
  <c r="S6" i="6"/>
  <c r="Y6" i="6"/>
  <c r="AD6" i="6"/>
  <c r="AI6" i="6"/>
  <c r="AO6" i="6"/>
  <c r="G7" i="6"/>
  <c r="V7" i="6" s="1"/>
  <c r="V8" i="6" s="1"/>
  <c r="AH27" i="3"/>
  <c r="S27" i="3"/>
  <c r="S29" i="3" s="1"/>
  <c r="J6" i="6"/>
  <c r="O6" i="6"/>
  <c r="U6" i="6"/>
  <c r="Z6" i="6"/>
  <c r="AE6" i="6"/>
  <c r="AK6" i="6"/>
  <c r="AP6" i="6"/>
  <c r="L6" i="6"/>
  <c r="P6" i="6"/>
  <c r="T6" i="6"/>
  <c r="X6" i="6"/>
  <c r="AB6" i="6"/>
  <c r="AF6" i="6"/>
  <c r="AJ6" i="6"/>
  <c r="AN6" i="6"/>
  <c r="AP7" i="5"/>
  <c r="AL7" i="5"/>
  <c r="AH7" i="5"/>
  <c r="AD7" i="5"/>
  <c r="Z7" i="5"/>
  <c r="V7" i="5"/>
  <c r="R7" i="5"/>
  <c r="N7" i="5"/>
  <c r="J7" i="5"/>
  <c r="AS7" i="5"/>
  <c r="AO7" i="5"/>
  <c r="AK7" i="5"/>
  <c r="AG7" i="5"/>
  <c r="AC7" i="5"/>
  <c r="Y7" i="5"/>
  <c r="U7" i="5"/>
  <c r="Q7" i="5"/>
  <c r="M7" i="5"/>
  <c r="O7" i="5"/>
  <c r="W7" i="5"/>
  <c r="AE7" i="5"/>
  <c r="AM7" i="5"/>
  <c r="P7" i="5"/>
  <c r="X7" i="5"/>
  <c r="AF7" i="5"/>
  <c r="AN7" i="5"/>
  <c r="L6" i="5"/>
  <c r="P6" i="5"/>
  <c r="T6" i="5"/>
  <c r="X6" i="5"/>
  <c r="AB6" i="5"/>
  <c r="AF6" i="5"/>
  <c r="AJ6" i="5"/>
  <c r="AN6" i="5"/>
  <c r="AN8" i="5" s="1"/>
  <c r="AN34" i="5" s="1"/>
  <c r="AR6" i="5"/>
  <c r="AR8" i="5" s="1"/>
  <c r="AR34" i="5" s="1"/>
  <c r="M6" i="5"/>
  <c r="Q6" i="5"/>
  <c r="Q8" i="5" s="1"/>
  <c r="Q34" i="5" s="1"/>
  <c r="U6" i="5"/>
  <c r="Y6" i="5"/>
  <c r="AC6" i="5"/>
  <c r="AG6" i="5"/>
  <c r="AG8" i="5" s="1"/>
  <c r="AG34" i="5" s="1"/>
  <c r="AK6" i="5"/>
  <c r="AO6" i="5"/>
  <c r="AP7" i="4"/>
  <c r="AL7" i="4"/>
  <c r="AH7" i="4"/>
  <c r="AD7" i="4"/>
  <c r="Z7" i="4"/>
  <c r="V7" i="4"/>
  <c r="R7" i="4"/>
  <c r="N7" i="4"/>
  <c r="J7" i="4"/>
  <c r="AR7" i="4"/>
  <c r="AJ7" i="4"/>
  <c r="AB7" i="4"/>
  <c r="T7" i="4"/>
  <c r="L7" i="4"/>
  <c r="AS7" i="4"/>
  <c r="AO7" i="4"/>
  <c r="AK7" i="4"/>
  <c r="AG7" i="4"/>
  <c r="AC7" i="4"/>
  <c r="Y7" i="4"/>
  <c r="U7" i="4"/>
  <c r="Q7" i="4"/>
  <c r="M7" i="4"/>
  <c r="AN7" i="4"/>
  <c r="AF7" i="4"/>
  <c r="X7" i="4"/>
  <c r="P7" i="4"/>
  <c r="AQ7" i="4"/>
  <c r="AM7" i="4"/>
  <c r="AI7" i="4"/>
  <c r="AE7" i="4"/>
  <c r="AA7" i="4"/>
  <c r="S7" i="4"/>
  <c r="W7" i="4"/>
  <c r="L6" i="4"/>
  <c r="P6" i="4"/>
  <c r="T6" i="4"/>
  <c r="X6" i="4"/>
  <c r="AB6" i="4"/>
  <c r="AF6" i="4"/>
  <c r="AJ6" i="4"/>
  <c r="AN6" i="4"/>
  <c r="AR6" i="4"/>
  <c r="M6" i="4"/>
  <c r="Q6" i="4"/>
  <c r="U6" i="4"/>
  <c r="Y6" i="4"/>
  <c r="AC6" i="4"/>
  <c r="AG6" i="4"/>
  <c r="AK6" i="4"/>
  <c r="AO6" i="4"/>
  <c r="AF23" i="3"/>
  <c r="AF25" i="3" s="1"/>
  <c r="P23" i="3"/>
  <c r="P25" i="3" s="1"/>
  <c r="AQ23" i="3"/>
  <c r="AQ25" i="3" s="1"/>
  <c r="AA23" i="3"/>
  <c r="AA25" i="3" s="1"/>
  <c r="K23" i="3"/>
  <c r="K25" i="3" s="1"/>
  <c r="AR27" i="3"/>
  <c r="AJ27" i="3"/>
  <c r="AD27" i="3"/>
  <c r="AD29" i="3" s="1"/>
  <c r="W27" i="3"/>
  <c r="W29" i="3" s="1"/>
  <c r="O27" i="3"/>
  <c r="O29" i="3" s="1"/>
  <c r="AN23" i="3"/>
  <c r="AN25" i="3" s="1"/>
  <c r="X23" i="3"/>
  <c r="X25" i="3" s="1"/>
  <c r="AI23" i="3"/>
  <c r="AI25" i="3" s="1"/>
  <c r="AP27" i="3"/>
  <c r="AI27" i="3"/>
  <c r="AB27" i="3"/>
  <c r="AB29" i="3" s="1"/>
  <c r="T27" i="3"/>
  <c r="T29" i="3" s="1"/>
  <c r="N29" i="3"/>
  <c r="AE28" i="3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N14" i="3"/>
  <c r="L14" i="3"/>
  <c r="T14" i="3"/>
  <c r="AB14" i="3"/>
  <c r="AJ14" i="3"/>
  <c r="AR14" i="3"/>
  <c r="M14" i="3"/>
  <c r="Y14" i="3"/>
  <c r="P14" i="3"/>
  <c r="U6" i="3"/>
  <c r="AK6" i="3"/>
  <c r="Z6" i="3"/>
  <c r="AP6" i="3"/>
  <c r="AK14" i="3"/>
  <c r="AC6" i="3"/>
  <c r="AS14" i="3"/>
  <c r="AG14" i="3"/>
  <c r="X14" i="3"/>
  <c r="R6" i="3"/>
  <c r="L29" i="3"/>
  <c r="AO14" i="3"/>
  <c r="AF14" i="3"/>
  <c r="U14" i="3"/>
  <c r="AS6" i="3"/>
  <c r="M6" i="3"/>
  <c r="M23" i="3"/>
  <c r="M25" i="3" s="1"/>
  <c r="Q23" i="3"/>
  <c r="Q25" i="3" s="1"/>
  <c r="U23" i="3"/>
  <c r="U25" i="3" s="1"/>
  <c r="Y23" i="3"/>
  <c r="Y25" i="3" s="1"/>
  <c r="AC23" i="3"/>
  <c r="AC25" i="3" s="1"/>
  <c r="AG23" i="3"/>
  <c r="AG25" i="3" s="1"/>
  <c r="AK23" i="3"/>
  <c r="AK25" i="3" s="1"/>
  <c r="AO23" i="3"/>
  <c r="AO25" i="3" s="1"/>
  <c r="AS23" i="3"/>
  <c r="AS25" i="3" s="1"/>
  <c r="N23" i="3"/>
  <c r="N25" i="3" s="1"/>
  <c r="R23" i="3"/>
  <c r="R25" i="3" s="1"/>
  <c r="V23" i="3"/>
  <c r="V25" i="3" s="1"/>
  <c r="Z23" i="3"/>
  <c r="Z25" i="3" s="1"/>
  <c r="AD23" i="3"/>
  <c r="AD25" i="3" s="1"/>
  <c r="AH23" i="3"/>
  <c r="AH25" i="3" s="1"/>
  <c r="AL23" i="3"/>
  <c r="AL25" i="3" s="1"/>
  <c r="AP23" i="3"/>
  <c r="AP25" i="3" s="1"/>
  <c r="J23" i="3"/>
  <c r="J25" i="3" s="1"/>
  <c r="AM23" i="3"/>
  <c r="AM25" i="3" s="1"/>
  <c r="AE23" i="3"/>
  <c r="AE25" i="3" s="1"/>
  <c r="W23" i="3"/>
  <c r="W25" i="3" s="1"/>
  <c r="O23" i="3"/>
  <c r="O25" i="3" s="1"/>
  <c r="X29" i="3"/>
  <c r="AN14" i="3"/>
  <c r="AC14" i="3"/>
  <c r="Q14" i="3"/>
  <c r="AH6" i="3"/>
  <c r="AR23" i="3"/>
  <c r="AR25" i="3" s="1"/>
  <c r="AJ23" i="3"/>
  <c r="AJ25" i="3" s="1"/>
  <c r="AB23" i="3"/>
  <c r="AB25" i="3" s="1"/>
  <c r="T23" i="3"/>
  <c r="T25" i="3" s="1"/>
  <c r="L23" i="3"/>
  <c r="L25" i="3" s="1"/>
  <c r="M27" i="3"/>
  <c r="M29" i="3" s="1"/>
  <c r="Q27" i="3"/>
  <c r="Q29" i="3" s="1"/>
  <c r="U27" i="3"/>
  <c r="U29" i="3" s="1"/>
  <c r="Y27" i="3"/>
  <c r="Y29" i="3" s="1"/>
  <c r="AC27" i="3"/>
  <c r="AC29" i="3" s="1"/>
  <c r="AG27" i="3"/>
  <c r="AK27" i="3"/>
  <c r="AO27" i="3"/>
  <c r="AS27" i="3"/>
  <c r="AQ27" i="3"/>
  <c r="AL27" i="3"/>
  <c r="AF27" i="3"/>
  <c r="AA27" i="3"/>
  <c r="AA29" i="3" s="1"/>
  <c r="V27" i="3"/>
  <c r="V29" i="3" s="1"/>
  <c r="P27" i="3"/>
  <c r="P29" i="3" s="1"/>
  <c r="K27" i="3"/>
  <c r="K29" i="3" s="1"/>
  <c r="K6" i="3"/>
  <c r="O6" i="3"/>
  <c r="S6" i="3"/>
  <c r="W6" i="3"/>
  <c r="AA6" i="3"/>
  <c r="AE6" i="3"/>
  <c r="AI6" i="3"/>
  <c r="AM6" i="3"/>
  <c r="AQ6" i="3"/>
  <c r="L6" i="3"/>
  <c r="P6" i="3"/>
  <c r="T6" i="3"/>
  <c r="X6" i="3"/>
  <c r="AB6" i="3"/>
  <c r="AF6" i="3"/>
  <c r="AJ6" i="3"/>
  <c r="AN6" i="3"/>
  <c r="AR6" i="3"/>
  <c r="G7" i="3"/>
  <c r="AO6" i="3"/>
  <c r="AG6" i="3"/>
  <c r="Y6" i="3"/>
  <c r="Q6" i="3"/>
  <c r="J6" i="3"/>
  <c r="AL6" i="3"/>
  <c r="AD6" i="3"/>
  <c r="V6" i="3"/>
  <c r="N6" i="3"/>
  <c r="AQ14" i="3"/>
  <c r="AM14" i="3"/>
  <c r="AI14" i="3"/>
  <c r="AE14" i="3"/>
  <c r="AA14" i="3"/>
  <c r="W14" i="3"/>
  <c r="S14" i="3"/>
  <c r="O14" i="3"/>
  <c r="K14" i="3"/>
  <c r="J14" i="3"/>
  <c r="AP14" i="3"/>
  <c r="AL14" i="3"/>
  <c r="AH14" i="3"/>
  <c r="AD14" i="3"/>
  <c r="Z14" i="3"/>
  <c r="V14" i="3"/>
  <c r="R14" i="3"/>
  <c r="M7" i="6" l="1"/>
  <c r="M8" i="6" s="1"/>
  <c r="U28" i="6"/>
  <c r="R38" i="6"/>
  <c r="J23" i="6"/>
  <c r="J39" i="6" s="1"/>
  <c r="J56" i="6" s="1"/>
  <c r="I22" i="6"/>
  <c r="J100" i="5"/>
  <c r="J103" i="5" s="1"/>
  <c r="J120" i="5"/>
  <c r="K30" i="5"/>
  <c r="K37" i="5" s="1"/>
  <c r="K47" i="5" s="1"/>
  <c r="K22" i="5"/>
  <c r="F89" i="5"/>
  <c r="AM68" i="5"/>
  <c r="L68" i="5"/>
  <c r="AD68" i="5"/>
  <c r="AS68" i="5"/>
  <c r="AP68" i="5"/>
  <c r="AF68" i="5"/>
  <c r="T68" i="5"/>
  <c r="AC68" i="5"/>
  <c r="AG69" i="5"/>
  <c r="AC65" i="5"/>
  <c r="AK65" i="5"/>
  <c r="AS65" i="5"/>
  <c r="Z69" i="5"/>
  <c r="AF65" i="5"/>
  <c r="AM69" i="5"/>
  <c r="K65" i="5"/>
  <c r="AE68" i="5"/>
  <c r="X69" i="5"/>
  <c r="AH68" i="5"/>
  <c r="V68" i="5"/>
  <c r="AB68" i="5"/>
  <c r="AR68" i="5"/>
  <c r="Z68" i="5"/>
  <c r="W68" i="5"/>
  <c r="AO68" i="5"/>
  <c r="Q68" i="5"/>
  <c r="AI65" i="5"/>
  <c r="N68" i="5"/>
  <c r="AA67" i="5"/>
  <c r="AA65" i="5"/>
  <c r="AJ68" i="5"/>
  <c r="L67" i="5"/>
  <c r="L65" i="5"/>
  <c r="T67" i="5"/>
  <c r="T65" i="5"/>
  <c r="AL68" i="5"/>
  <c r="R68" i="5"/>
  <c r="O67" i="5"/>
  <c r="O65" i="5"/>
  <c r="AG68" i="5"/>
  <c r="M68" i="5"/>
  <c r="U68" i="5"/>
  <c r="S67" i="5"/>
  <c r="S65" i="5"/>
  <c r="Y67" i="5"/>
  <c r="Y65" i="5"/>
  <c r="AG67" i="5"/>
  <c r="AG65" i="5"/>
  <c r="AO67" i="5"/>
  <c r="AO65" i="5"/>
  <c r="AP69" i="5"/>
  <c r="AH67" i="5"/>
  <c r="AH65" i="5"/>
  <c r="AP67" i="5"/>
  <c r="AP65" i="5"/>
  <c r="S69" i="5"/>
  <c r="AR69" i="5"/>
  <c r="AN67" i="5"/>
  <c r="AN65" i="5"/>
  <c r="AQ68" i="5"/>
  <c r="S68" i="5"/>
  <c r="W65" i="5"/>
  <c r="P67" i="5"/>
  <c r="P65" i="5"/>
  <c r="X67" i="5"/>
  <c r="X65" i="5"/>
  <c r="AD67" i="5"/>
  <c r="AD65" i="5"/>
  <c r="AL67" i="5"/>
  <c r="AL65" i="5"/>
  <c r="J67" i="5"/>
  <c r="V65" i="5"/>
  <c r="Z65" i="5"/>
  <c r="Q65" i="5"/>
  <c r="AL69" i="5"/>
  <c r="AC69" i="5"/>
  <c r="AC73" i="5" s="1"/>
  <c r="AB69" i="5"/>
  <c r="AB73" i="5" s="1"/>
  <c r="AB65" i="5"/>
  <c r="AR65" i="5"/>
  <c r="AA68" i="5"/>
  <c r="N67" i="5"/>
  <c r="N65" i="5"/>
  <c r="AQ67" i="5"/>
  <c r="AQ65" i="5"/>
  <c r="AN68" i="5"/>
  <c r="P68" i="5"/>
  <c r="X68" i="5"/>
  <c r="J68" i="5"/>
  <c r="R67" i="5"/>
  <c r="R65" i="5"/>
  <c r="AE67" i="5"/>
  <c r="AE65" i="5"/>
  <c r="AK68" i="5"/>
  <c r="M67" i="5"/>
  <c r="M65" i="5"/>
  <c r="U67" i="5"/>
  <c r="U65" i="5"/>
  <c r="Y68" i="5"/>
  <c r="Q69" i="5"/>
  <c r="AI69" i="5"/>
  <c r="L69" i="5"/>
  <c r="AJ67" i="5"/>
  <c r="AJ65" i="5"/>
  <c r="K68" i="5"/>
  <c r="O68" i="5"/>
  <c r="O73" i="5" s="1"/>
  <c r="AM65" i="5"/>
  <c r="V67" i="5"/>
  <c r="Z67" i="5"/>
  <c r="Q67" i="5"/>
  <c r="AK69" i="5"/>
  <c r="AC67" i="5"/>
  <c r="AK67" i="5"/>
  <c r="AS67" i="5"/>
  <c r="V69" i="5"/>
  <c r="W69" i="5"/>
  <c r="AN69" i="5"/>
  <c r="AB67" i="5"/>
  <c r="AR67" i="5"/>
  <c r="AQ69" i="5"/>
  <c r="K67" i="5"/>
  <c r="W67" i="5"/>
  <c r="AI68" i="5"/>
  <c r="I46" i="5"/>
  <c r="K40" i="5"/>
  <c r="K45" i="5" s="1"/>
  <c r="K113" i="5" s="1"/>
  <c r="K15" i="6" s="1"/>
  <c r="K37" i="6" s="1"/>
  <c r="K71" i="5"/>
  <c r="K78" i="5" s="1"/>
  <c r="J64" i="5"/>
  <c r="J69" i="5" s="1"/>
  <c r="AR40" i="5"/>
  <c r="AR71" i="5"/>
  <c r="AN40" i="5"/>
  <c r="AN45" i="5" s="1"/>
  <c r="AN113" i="5" s="1"/>
  <c r="AN15" i="6" s="1"/>
  <c r="AN37" i="6" s="1"/>
  <c r="AN71" i="5"/>
  <c r="AN78" i="5" s="1"/>
  <c r="U69" i="5"/>
  <c r="AO69" i="5"/>
  <c r="N69" i="5"/>
  <c r="N73" i="5" s="1"/>
  <c r="AD69" i="5"/>
  <c r="I52" i="5"/>
  <c r="AA69" i="5"/>
  <c r="AA73" i="5" s="1"/>
  <c r="P69" i="5"/>
  <c r="AF69" i="5"/>
  <c r="AF73" i="5" s="1"/>
  <c r="K48" i="5"/>
  <c r="M69" i="5"/>
  <c r="AG40" i="5"/>
  <c r="AG45" i="5" s="1"/>
  <c r="AG113" i="5" s="1"/>
  <c r="AG15" i="6" s="1"/>
  <c r="AG37" i="6" s="1"/>
  <c r="AG71" i="5"/>
  <c r="Q40" i="5"/>
  <c r="Q45" i="5" s="1"/>
  <c r="Q113" i="5" s="1"/>
  <c r="Q15" i="6" s="1"/>
  <c r="Q37" i="6" s="1"/>
  <c r="Q71" i="5"/>
  <c r="Y69" i="5"/>
  <c r="R69" i="5"/>
  <c r="AH69" i="5"/>
  <c r="AH73" i="5" s="1"/>
  <c r="K69" i="5"/>
  <c r="K73" i="5" s="1"/>
  <c r="AE69" i="5"/>
  <c r="AE73" i="5" s="1"/>
  <c r="T69" i="5"/>
  <c r="AJ69" i="5"/>
  <c r="AJ73" i="5" s="1"/>
  <c r="AF67" i="5"/>
  <c r="AS69" i="5"/>
  <c r="AS73" i="5" s="1"/>
  <c r="AI67" i="5"/>
  <c r="AR45" i="5"/>
  <c r="AR113" i="5" s="1"/>
  <c r="AR15" i="6" s="1"/>
  <c r="AR37" i="6" s="1"/>
  <c r="S22" i="5"/>
  <c r="S19" i="5"/>
  <c r="S18" i="5"/>
  <c r="S21" i="5"/>
  <c r="S30" i="5" s="1"/>
  <c r="S37" i="5" s="1"/>
  <c r="S47" i="5" s="1"/>
  <c r="S48" i="5" s="1"/>
  <c r="AI22" i="5"/>
  <c r="AI19" i="5"/>
  <c r="AI18" i="5"/>
  <c r="AI21" i="5"/>
  <c r="AI30" i="5" s="1"/>
  <c r="AI37" i="5" s="1"/>
  <c r="AI47" i="5" s="1"/>
  <c r="AI48" i="5" s="1"/>
  <c r="P21" i="5"/>
  <c r="P30" i="5" s="1"/>
  <c r="P37" i="5" s="1"/>
  <c r="P47" i="5" s="1"/>
  <c r="P48" i="5" s="1"/>
  <c r="P22" i="5"/>
  <c r="P19" i="5"/>
  <c r="P18" i="5"/>
  <c r="P32" i="5" s="1"/>
  <c r="P39" i="5" s="1"/>
  <c r="AF21" i="5"/>
  <c r="AF30" i="5" s="1"/>
  <c r="AF37" i="5" s="1"/>
  <c r="AF47" i="5" s="1"/>
  <c r="AF48" i="5" s="1"/>
  <c r="AF22" i="5"/>
  <c r="AF19" i="5"/>
  <c r="AF18" i="5"/>
  <c r="AF32" i="5" s="1"/>
  <c r="AF39" i="5" s="1"/>
  <c r="M21" i="5"/>
  <c r="M30" i="5" s="1"/>
  <c r="M37" i="5" s="1"/>
  <c r="M47" i="5" s="1"/>
  <c r="M48" i="5" s="1"/>
  <c r="M22" i="5"/>
  <c r="M19" i="5"/>
  <c r="M18" i="5"/>
  <c r="M32" i="5" s="1"/>
  <c r="M39" i="5" s="1"/>
  <c r="AS21" i="5"/>
  <c r="AS30" i="5" s="1"/>
  <c r="AS37" i="5" s="1"/>
  <c r="AS47" i="5" s="1"/>
  <c r="AS48" i="5" s="1"/>
  <c r="AS22" i="5"/>
  <c r="AS19" i="5"/>
  <c r="AS18" i="5"/>
  <c r="AS32" i="5" s="1"/>
  <c r="AS39" i="5" s="1"/>
  <c r="AL22" i="5"/>
  <c r="AL19" i="5"/>
  <c r="AL18" i="5"/>
  <c r="AL32" i="5" s="1"/>
  <c r="AL39" i="5" s="1"/>
  <c r="AL21" i="5"/>
  <c r="AL30" i="5" s="1"/>
  <c r="AL37" i="5" s="1"/>
  <c r="AL47" i="5" s="1"/>
  <c r="AL48" i="5" s="1"/>
  <c r="AG21" i="5"/>
  <c r="AG30" i="5" s="1"/>
  <c r="AG37" i="5" s="1"/>
  <c r="AG47" i="5" s="1"/>
  <c r="AG48" i="5" s="1"/>
  <c r="AG22" i="5"/>
  <c r="AG19" i="5"/>
  <c r="AG18" i="5"/>
  <c r="AG32" i="5" s="1"/>
  <c r="AG39" i="5" s="1"/>
  <c r="AH22" i="5"/>
  <c r="AH19" i="5"/>
  <c r="AH18" i="5"/>
  <c r="AH32" i="5" s="1"/>
  <c r="AH39" i="5" s="1"/>
  <c r="AH21" i="5"/>
  <c r="AH30" i="5" s="1"/>
  <c r="AH37" i="5" s="1"/>
  <c r="AH47" i="5" s="1"/>
  <c r="AH48" i="5" s="1"/>
  <c r="AA22" i="5"/>
  <c r="AA19" i="5"/>
  <c r="AA18" i="5"/>
  <c r="AA21" i="5"/>
  <c r="AA30" i="5" s="1"/>
  <c r="AA37" i="5" s="1"/>
  <c r="AA47" i="5" s="1"/>
  <c r="AA48" i="5" s="1"/>
  <c r="AQ22" i="5"/>
  <c r="AQ19" i="5"/>
  <c r="AQ18" i="5"/>
  <c r="AQ21" i="5"/>
  <c r="AQ30" i="5" s="1"/>
  <c r="AQ37" i="5" s="1"/>
  <c r="AQ47" i="5" s="1"/>
  <c r="AQ48" i="5" s="1"/>
  <c r="X21" i="5"/>
  <c r="X30" i="5" s="1"/>
  <c r="X37" i="5" s="1"/>
  <c r="X47" i="5" s="1"/>
  <c r="X48" i="5" s="1"/>
  <c r="X22" i="5"/>
  <c r="X19" i="5"/>
  <c r="X18" i="5"/>
  <c r="X32" i="5" s="1"/>
  <c r="X39" i="5" s="1"/>
  <c r="AN21" i="5"/>
  <c r="AN30" i="5" s="1"/>
  <c r="AN37" i="5" s="1"/>
  <c r="AN47" i="5" s="1"/>
  <c r="AN48" i="5" s="1"/>
  <c r="AN22" i="5"/>
  <c r="AN19" i="5"/>
  <c r="AN18" i="5"/>
  <c r="AN32" i="5" s="1"/>
  <c r="AN39" i="5" s="1"/>
  <c r="AC21" i="5"/>
  <c r="AC30" i="5" s="1"/>
  <c r="AC37" i="5" s="1"/>
  <c r="AC47" i="5" s="1"/>
  <c r="AC48" i="5" s="1"/>
  <c r="AC22" i="5"/>
  <c r="AC19" i="5"/>
  <c r="AC18" i="5"/>
  <c r="AC32" i="5" s="1"/>
  <c r="AC39" i="5" s="1"/>
  <c r="V22" i="5"/>
  <c r="V18" i="5"/>
  <c r="V32" i="5" s="1"/>
  <c r="V39" i="5" s="1"/>
  <c r="V19" i="5"/>
  <c r="V21" i="5"/>
  <c r="V30" i="5" s="1"/>
  <c r="V37" i="5" s="1"/>
  <c r="V47" i="5" s="1"/>
  <c r="V48" i="5" s="1"/>
  <c r="Q21" i="5"/>
  <c r="Q30" i="5" s="1"/>
  <c r="Q37" i="5" s="1"/>
  <c r="Q22" i="5"/>
  <c r="Q19" i="5"/>
  <c r="Q18" i="5"/>
  <c r="Q32" i="5" s="1"/>
  <c r="Q39" i="5" s="1"/>
  <c r="R19" i="5"/>
  <c r="R22" i="5"/>
  <c r="R18" i="5"/>
  <c r="R32" i="5" s="1"/>
  <c r="R39" i="5" s="1"/>
  <c r="R21" i="5"/>
  <c r="R30" i="5" s="1"/>
  <c r="R37" i="5" s="1"/>
  <c r="R47" i="5" s="1"/>
  <c r="R48" i="5" s="1"/>
  <c r="O22" i="5"/>
  <c r="O19" i="5"/>
  <c r="O18" i="5"/>
  <c r="O21" i="5"/>
  <c r="O30" i="5" s="1"/>
  <c r="O37" i="5" s="1"/>
  <c r="O47" i="5" s="1"/>
  <c r="O48" i="5" s="1"/>
  <c r="AE22" i="5"/>
  <c r="AE19" i="5"/>
  <c r="AE18" i="5"/>
  <c r="AE21" i="5"/>
  <c r="AE30" i="5" s="1"/>
  <c r="AE37" i="5" s="1"/>
  <c r="AE47" i="5" s="1"/>
  <c r="AE48" i="5" s="1"/>
  <c r="L21" i="5"/>
  <c r="L30" i="5" s="1"/>
  <c r="L37" i="5" s="1"/>
  <c r="L47" i="5" s="1"/>
  <c r="L48" i="5" s="1"/>
  <c r="L22" i="5"/>
  <c r="L19" i="5"/>
  <c r="L18" i="5"/>
  <c r="L32" i="5" s="1"/>
  <c r="L39" i="5" s="1"/>
  <c r="AB21" i="5"/>
  <c r="AB30" i="5" s="1"/>
  <c r="AB37" i="5" s="1"/>
  <c r="AB47" i="5" s="1"/>
  <c r="AB48" i="5" s="1"/>
  <c r="AB22" i="5"/>
  <c r="AB19" i="5"/>
  <c r="AB18" i="5"/>
  <c r="AB32" i="5" s="1"/>
  <c r="AB39" i="5" s="1"/>
  <c r="AR21" i="5"/>
  <c r="AR30" i="5" s="1"/>
  <c r="AR37" i="5" s="1"/>
  <c r="AR47" i="5" s="1"/>
  <c r="AR48" i="5" s="1"/>
  <c r="AR22" i="5"/>
  <c r="AR19" i="5"/>
  <c r="AR18" i="5"/>
  <c r="AR32" i="5" s="1"/>
  <c r="AR39" i="5" s="1"/>
  <c r="AK21" i="5"/>
  <c r="AK30" i="5" s="1"/>
  <c r="AK37" i="5" s="1"/>
  <c r="AK47" i="5" s="1"/>
  <c r="AK48" i="5" s="1"/>
  <c r="AK22" i="5"/>
  <c r="AK19" i="5"/>
  <c r="AK18" i="5"/>
  <c r="AK32" i="5" s="1"/>
  <c r="AK39" i="5" s="1"/>
  <c r="AD22" i="5"/>
  <c r="AD19" i="5"/>
  <c r="AD18" i="5"/>
  <c r="AD32" i="5" s="1"/>
  <c r="AD39" i="5" s="1"/>
  <c r="AD21" i="5"/>
  <c r="AD30" i="5" s="1"/>
  <c r="AD37" i="5" s="1"/>
  <c r="AD47" i="5" s="1"/>
  <c r="AD48" i="5" s="1"/>
  <c r="Y21" i="5"/>
  <c r="Y30" i="5" s="1"/>
  <c r="Y37" i="5" s="1"/>
  <c r="Y47" i="5" s="1"/>
  <c r="Y48" i="5" s="1"/>
  <c r="Y22" i="5"/>
  <c r="Y19" i="5"/>
  <c r="Y18" i="5"/>
  <c r="Z22" i="5"/>
  <c r="Z19" i="5"/>
  <c r="Z18" i="5"/>
  <c r="Z32" i="5" s="1"/>
  <c r="Z39" i="5" s="1"/>
  <c r="Z21" i="5"/>
  <c r="Z30" i="5" s="1"/>
  <c r="Z37" i="5" s="1"/>
  <c r="Z47" i="5" s="1"/>
  <c r="Z48" i="5" s="1"/>
  <c r="W22" i="5"/>
  <c r="W19" i="5"/>
  <c r="W18" i="5"/>
  <c r="W32" i="5" s="1"/>
  <c r="W39" i="5" s="1"/>
  <c r="W21" i="5"/>
  <c r="W30" i="5" s="1"/>
  <c r="W37" i="5" s="1"/>
  <c r="W47" i="5" s="1"/>
  <c r="W48" i="5" s="1"/>
  <c r="AM22" i="5"/>
  <c r="AM19" i="5"/>
  <c r="AM18" i="5"/>
  <c r="AM32" i="5" s="1"/>
  <c r="AM39" i="5" s="1"/>
  <c r="AM21" i="5"/>
  <c r="AM30" i="5" s="1"/>
  <c r="AM37" i="5" s="1"/>
  <c r="AM47" i="5" s="1"/>
  <c r="AM48" i="5" s="1"/>
  <c r="T21" i="5"/>
  <c r="T30" i="5" s="1"/>
  <c r="T37" i="5" s="1"/>
  <c r="T47" i="5" s="1"/>
  <c r="T48" i="5" s="1"/>
  <c r="T22" i="5"/>
  <c r="T19" i="5"/>
  <c r="T18" i="5"/>
  <c r="T32" i="5" s="1"/>
  <c r="T39" i="5" s="1"/>
  <c r="AJ21" i="5"/>
  <c r="AJ30" i="5" s="1"/>
  <c r="AJ37" i="5" s="1"/>
  <c r="AJ47" i="5" s="1"/>
  <c r="AJ48" i="5" s="1"/>
  <c r="AJ22" i="5"/>
  <c r="AJ19" i="5"/>
  <c r="AJ18" i="5"/>
  <c r="AJ32" i="5" s="1"/>
  <c r="AJ39" i="5" s="1"/>
  <c r="U21" i="5"/>
  <c r="U30" i="5" s="1"/>
  <c r="U37" i="5" s="1"/>
  <c r="U47" i="5" s="1"/>
  <c r="U48" i="5" s="1"/>
  <c r="U22" i="5"/>
  <c r="U19" i="5"/>
  <c r="U18" i="5"/>
  <c r="U32" i="5" s="1"/>
  <c r="U39" i="5" s="1"/>
  <c r="N22" i="5"/>
  <c r="N19" i="5"/>
  <c r="N18" i="5"/>
  <c r="N32" i="5" s="1"/>
  <c r="N39" i="5" s="1"/>
  <c r="N21" i="5"/>
  <c r="N30" i="5" s="1"/>
  <c r="N37" i="5" s="1"/>
  <c r="N47" i="5" s="1"/>
  <c r="N48" i="5" s="1"/>
  <c r="J21" i="5"/>
  <c r="J30" i="5" s="1"/>
  <c r="J37" i="5" s="1"/>
  <c r="J19" i="5"/>
  <c r="J18" i="5"/>
  <c r="J32" i="5" s="1"/>
  <c r="J39" i="5" s="1"/>
  <c r="J22" i="5"/>
  <c r="AO21" i="5"/>
  <c r="AO30" i="5" s="1"/>
  <c r="AO37" i="5" s="1"/>
  <c r="AO47" i="5" s="1"/>
  <c r="AO48" i="5" s="1"/>
  <c r="AO22" i="5"/>
  <c r="AO19" i="5"/>
  <c r="AO18" i="5"/>
  <c r="AO32" i="5" s="1"/>
  <c r="AO39" i="5" s="1"/>
  <c r="AP22" i="5"/>
  <c r="AP19" i="5"/>
  <c r="AP18" i="5"/>
  <c r="AP32" i="5" s="1"/>
  <c r="AP39" i="5" s="1"/>
  <c r="AP21" i="5"/>
  <c r="AP30" i="5" s="1"/>
  <c r="AP37" i="5" s="1"/>
  <c r="AP47" i="5" s="1"/>
  <c r="AP48" i="5" s="1"/>
  <c r="K31" i="5"/>
  <c r="AS8" i="5"/>
  <c r="AS34" i="5" s="1"/>
  <c r="AM8" i="5"/>
  <c r="AM34" i="5" s="1"/>
  <c r="AB8" i="5"/>
  <c r="AB34" i="5" s="1"/>
  <c r="R8" i="5"/>
  <c r="R34" i="5" s="1"/>
  <c r="V8" i="4"/>
  <c r="AS7" i="6"/>
  <c r="AS8" i="6" s="1"/>
  <c r="W8" i="4"/>
  <c r="AG8" i="4"/>
  <c r="Q8" i="4"/>
  <c r="AD8" i="5"/>
  <c r="AD34" i="5" s="1"/>
  <c r="AA7" i="6"/>
  <c r="AA8" i="6" s="1"/>
  <c r="AH7" i="6"/>
  <c r="AH8" i="6" s="1"/>
  <c r="AE8" i="4"/>
  <c r="AL8" i="4"/>
  <c r="AA8" i="4"/>
  <c r="L8" i="5"/>
  <c r="L34" i="5" s="1"/>
  <c r="X7" i="6"/>
  <c r="X8" i="6" s="1"/>
  <c r="AB7" i="6"/>
  <c r="AB8" i="6" s="1"/>
  <c r="N7" i="6"/>
  <c r="N8" i="6" s="1"/>
  <c r="AS8" i="4"/>
  <c r="AH8" i="4"/>
  <c r="AK8" i="5"/>
  <c r="AK34" i="5" s="1"/>
  <c r="U8" i="5"/>
  <c r="U34" i="5" s="1"/>
  <c r="AL8" i="5"/>
  <c r="AL34" i="5" s="1"/>
  <c r="S7" i="6"/>
  <c r="S8" i="6" s="1"/>
  <c r="AN7" i="6"/>
  <c r="AN8" i="6" s="1"/>
  <c r="AC7" i="6"/>
  <c r="AC8" i="6" s="1"/>
  <c r="R7" i="6"/>
  <c r="R8" i="6" s="1"/>
  <c r="AI7" i="6"/>
  <c r="AI8" i="6" s="1"/>
  <c r="O8" i="4"/>
  <c r="AQ8" i="5"/>
  <c r="AQ34" i="5" s="1"/>
  <c r="AI8" i="4"/>
  <c r="N8" i="4"/>
  <c r="O8" i="5"/>
  <c r="O34" i="5" s="1"/>
  <c r="K7" i="6"/>
  <c r="K8" i="6" s="1"/>
  <c r="Y7" i="6"/>
  <c r="Y8" i="6" s="1"/>
  <c r="AL7" i="6"/>
  <c r="AL8" i="6" s="1"/>
  <c r="AF8" i="4"/>
  <c r="AJ8" i="5"/>
  <c r="AJ34" i="5" s="1"/>
  <c r="AP8" i="5"/>
  <c r="AP34" i="5" s="1"/>
  <c r="P7" i="6"/>
  <c r="P8" i="6" s="1"/>
  <c r="AR7" i="6"/>
  <c r="AR8" i="6" s="1"/>
  <c r="AK7" i="6"/>
  <c r="AK8" i="6" s="1"/>
  <c r="AD7" i="6"/>
  <c r="AD8" i="6" s="1"/>
  <c r="S8" i="5"/>
  <c r="S34" i="5" s="1"/>
  <c r="K8" i="4"/>
  <c r="M8" i="4"/>
  <c r="AC8" i="4"/>
  <c r="P8" i="4"/>
  <c r="AR8" i="4"/>
  <c r="L8" i="4"/>
  <c r="AH8" i="5"/>
  <c r="AH34" i="5" s="1"/>
  <c r="R8" i="4"/>
  <c r="AL29" i="3"/>
  <c r="AK29" i="3"/>
  <c r="AQ8" i="4"/>
  <c r="AD8" i="4"/>
  <c r="AQ7" i="6"/>
  <c r="AQ8" i="6" s="1"/>
  <c r="L7" i="6"/>
  <c r="L8" i="6" s="1"/>
  <c r="AF7" i="6"/>
  <c r="AF8" i="6" s="1"/>
  <c r="U7" i="6"/>
  <c r="U8" i="6" s="1"/>
  <c r="AO7" i="6"/>
  <c r="AO8" i="6" s="1"/>
  <c r="V8" i="5"/>
  <c r="V34" i="5" s="1"/>
  <c r="AO8" i="4"/>
  <c r="Y8" i="4"/>
  <c r="AB8" i="4"/>
  <c r="T8" i="5"/>
  <c r="T34" i="5" s="1"/>
  <c r="AE8" i="5"/>
  <c r="AE34" i="5" s="1"/>
  <c r="Z8" i="5"/>
  <c r="Z34" i="5" s="1"/>
  <c r="AM7" i="6"/>
  <c r="AM8" i="6" s="1"/>
  <c r="AE7" i="6"/>
  <c r="AE8" i="6" s="1"/>
  <c r="O7" i="6"/>
  <c r="O8" i="6" s="1"/>
  <c r="AA8" i="5"/>
  <c r="AA34" i="5" s="1"/>
  <c r="X8" i="4"/>
  <c r="S8" i="4"/>
  <c r="AM8" i="4"/>
  <c r="Z8" i="4"/>
  <c r="AP8" i="4"/>
  <c r="AC8" i="5"/>
  <c r="AC34" i="5" s="1"/>
  <c r="M8" i="5"/>
  <c r="M34" i="5" s="1"/>
  <c r="P8" i="5"/>
  <c r="P34" i="5" s="1"/>
  <c r="W8" i="5"/>
  <c r="W34" i="5" s="1"/>
  <c r="N8" i="5"/>
  <c r="N34" i="5" s="1"/>
  <c r="T7" i="6"/>
  <c r="T8" i="6" s="1"/>
  <c r="AJ7" i="6"/>
  <c r="AJ8" i="6" s="1"/>
  <c r="Q7" i="6"/>
  <c r="Q8" i="6" s="1"/>
  <c r="AG7" i="6"/>
  <c r="AG8" i="6" s="1"/>
  <c r="J7" i="6"/>
  <c r="J8" i="6" s="1"/>
  <c r="Z7" i="6"/>
  <c r="Z8" i="6" s="1"/>
  <c r="AP7" i="6"/>
  <c r="AP8" i="6" s="1"/>
  <c r="W7" i="6"/>
  <c r="W8" i="6" s="1"/>
  <c r="AI8" i="5"/>
  <c r="AI34" i="5" s="1"/>
  <c r="I6" i="6"/>
  <c r="I6" i="5"/>
  <c r="AF8" i="5"/>
  <c r="AF34" i="5" s="1"/>
  <c r="Y8" i="5"/>
  <c r="Y34" i="5" s="1"/>
  <c r="I7" i="5"/>
  <c r="AO8" i="5"/>
  <c r="AO34" i="5" s="1"/>
  <c r="X8" i="5"/>
  <c r="X34" i="5" s="1"/>
  <c r="J8" i="5"/>
  <c r="J34" i="5" s="1"/>
  <c r="I7" i="4"/>
  <c r="AK8" i="4"/>
  <c r="U8" i="4"/>
  <c r="AN8" i="4"/>
  <c r="J8" i="4"/>
  <c r="AJ8" i="4"/>
  <c r="T8" i="4"/>
  <c r="I6" i="4"/>
  <c r="AN29" i="3"/>
  <c r="AP29" i="3"/>
  <c r="AE29" i="3"/>
  <c r="AS29" i="3"/>
  <c r="AI29" i="3"/>
  <c r="AQ29" i="3"/>
  <c r="AG29" i="3"/>
  <c r="AR29" i="3"/>
  <c r="AJ29" i="3"/>
  <c r="AF29" i="3"/>
  <c r="AO29" i="3"/>
  <c r="AM29" i="3"/>
  <c r="AH29" i="3"/>
  <c r="K7" i="3"/>
  <c r="K8" i="3" s="1"/>
  <c r="K21" i="3" s="1"/>
  <c r="K11" i="4" s="1"/>
  <c r="K15" i="4" s="1"/>
  <c r="K16" i="4" s="1"/>
  <c r="O7" i="3"/>
  <c r="O8" i="3" s="1"/>
  <c r="O21" i="3" s="1"/>
  <c r="O11" i="4" s="1"/>
  <c r="O15" i="4" s="1"/>
  <c r="O16" i="4" s="1"/>
  <c r="S7" i="3"/>
  <c r="S8" i="3" s="1"/>
  <c r="S21" i="3" s="1"/>
  <c r="S11" i="4" s="1"/>
  <c r="S15" i="4" s="1"/>
  <c r="S16" i="4" s="1"/>
  <c r="W7" i="3"/>
  <c r="AA7" i="3"/>
  <c r="AA8" i="3" s="1"/>
  <c r="AA21" i="3" s="1"/>
  <c r="AA11" i="4" s="1"/>
  <c r="AA15" i="4" s="1"/>
  <c r="AA16" i="4" s="1"/>
  <c r="AE7" i="3"/>
  <c r="AE8" i="3" s="1"/>
  <c r="AE21" i="3" s="1"/>
  <c r="AE11" i="4" s="1"/>
  <c r="AE15" i="4" s="1"/>
  <c r="AE16" i="4" s="1"/>
  <c r="AI7" i="3"/>
  <c r="AI8" i="3" s="1"/>
  <c r="AI21" i="3" s="1"/>
  <c r="AI11" i="4" s="1"/>
  <c r="AI15" i="4" s="1"/>
  <c r="AI16" i="4" s="1"/>
  <c r="AM7" i="3"/>
  <c r="AQ7" i="3"/>
  <c r="L7" i="3"/>
  <c r="L8" i="3" s="1"/>
  <c r="L21" i="3" s="1"/>
  <c r="L11" i="4" s="1"/>
  <c r="L15" i="4" s="1"/>
  <c r="L16" i="4" s="1"/>
  <c r="P7" i="3"/>
  <c r="T7" i="3"/>
  <c r="T8" i="3" s="1"/>
  <c r="T21" i="3" s="1"/>
  <c r="T11" i="4" s="1"/>
  <c r="T15" i="4" s="1"/>
  <c r="T16" i="4" s="1"/>
  <c r="X7" i="3"/>
  <c r="AB7" i="3"/>
  <c r="AB8" i="3" s="1"/>
  <c r="AB21" i="3" s="1"/>
  <c r="AB11" i="4" s="1"/>
  <c r="AB15" i="4" s="1"/>
  <c r="AB16" i="4" s="1"/>
  <c r="AF7" i="3"/>
  <c r="AF8" i="3" s="1"/>
  <c r="AF21" i="3" s="1"/>
  <c r="AF11" i="4" s="1"/>
  <c r="AF15" i="4" s="1"/>
  <c r="AF16" i="4" s="1"/>
  <c r="AJ7" i="3"/>
  <c r="AJ8" i="3" s="1"/>
  <c r="AJ21" i="3" s="1"/>
  <c r="AJ11" i="4" s="1"/>
  <c r="AJ15" i="4" s="1"/>
  <c r="AJ16" i="4" s="1"/>
  <c r="AN7" i="3"/>
  <c r="AR7" i="3"/>
  <c r="AR8" i="3" s="1"/>
  <c r="AR21" i="3" s="1"/>
  <c r="AR11" i="4" s="1"/>
  <c r="AR15" i="4" s="1"/>
  <c r="AR16" i="4" s="1"/>
  <c r="Q7" i="3"/>
  <c r="Q8" i="3" s="1"/>
  <c r="Q21" i="3" s="1"/>
  <c r="Q11" i="4" s="1"/>
  <c r="Q15" i="4" s="1"/>
  <c r="Q16" i="4" s="1"/>
  <c r="Y7" i="3"/>
  <c r="AG7" i="3"/>
  <c r="AG8" i="3" s="1"/>
  <c r="AG21" i="3" s="1"/>
  <c r="AG11" i="4" s="1"/>
  <c r="AG15" i="4" s="1"/>
  <c r="AG16" i="4" s="1"/>
  <c r="AO7" i="3"/>
  <c r="AO8" i="3" s="1"/>
  <c r="AO21" i="3" s="1"/>
  <c r="AO11" i="4" s="1"/>
  <c r="AO15" i="4" s="1"/>
  <c r="AO16" i="4" s="1"/>
  <c r="M7" i="3"/>
  <c r="M8" i="3" s="1"/>
  <c r="M21" i="3" s="1"/>
  <c r="M11" i="4" s="1"/>
  <c r="M15" i="4" s="1"/>
  <c r="M16" i="4" s="1"/>
  <c r="U7" i="3"/>
  <c r="U8" i="3" s="1"/>
  <c r="U21" i="3" s="1"/>
  <c r="U11" i="4" s="1"/>
  <c r="U15" i="4" s="1"/>
  <c r="U16" i="4" s="1"/>
  <c r="AK7" i="3"/>
  <c r="AK8" i="3" s="1"/>
  <c r="AK21" i="3" s="1"/>
  <c r="AK11" i="4" s="1"/>
  <c r="AK15" i="4" s="1"/>
  <c r="AK16" i="4" s="1"/>
  <c r="R7" i="3"/>
  <c r="R8" i="3" s="1"/>
  <c r="R21" i="3" s="1"/>
  <c r="R11" i="4" s="1"/>
  <c r="R15" i="4" s="1"/>
  <c r="R16" i="4" s="1"/>
  <c r="Z7" i="3"/>
  <c r="Z8" i="3" s="1"/>
  <c r="Z21" i="3" s="1"/>
  <c r="Z11" i="4" s="1"/>
  <c r="Z15" i="4" s="1"/>
  <c r="Z16" i="4" s="1"/>
  <c r="AH7" i="3"/>
  <c r="AH8" i="3" s="1"/>
  <c r="AH21" i="3" s="1"/>
  <c r="AH11" i="4" s="1"/>
  <c r="AH15" i="4" s="1"/>
  <c r="AH16" i="4" s="1"/>
  <c r="AP7" i="3"/>
  <c r="AP8" i="3" s="1"/>
  <c r="AP21" i="3" s="1"/>
  <c r="AP11" i="4" s="1"/>
  <c r="AP15" i="4" s="1"/>
  <c r="AP16" i="4" s="1"/>
  <c r="AC7" i="3"/>
  <c r="AC8" i="3" s="1"/>
  <c r="AC21" i="3" s="1"/>
  <c r="AC11" i="4" s="1"/>
  <c r="AC15" i="4" s="1"/>
  <c r="AC16" i="4" s="1"/>
  <c r="AS7" i="3"/>
  <c r="AS8" i="3" s="1"/>
  <c r="AS21" i="3" s="1"/>
  <c r="AS11" i="4" s="1"/>
  <c r="AS15" i="4" s="1"/>
  <c r="AS16" i="4" s="1"/>
  <c r="N7" i="3"/>
  <c r="N8" i="3" s="1"/>
  <c r="N21" i="3" s="1"/>
  <c r="N11" i="4" s="1"/>
  <c r="N15" i="4" s="1"/>
  <c r="N16" i="4" s="1"/>
  <c r="V7" i="3"/>
  <c r="V8" i="3" s="1"/>
  <c r="V21" i="3" s="1"/>
  <c r="V11" i="4" s="1"/>
  <c r="V15" i="4" s="1"/>
  <c r="V16" i="4" s="1"/>
  <c r="AD7" i="3"/>
  <c r="AD8" i="3" s="1"/>
  <c r="AD21" i="3" s="1"/>
  <c r="AD11" i="4" s="1"/>
  <c r="AD15" i="4" s="1"/>
  <c r="AD16" i="4" s="1"/>
  <c r="AL7" i="3"/>
  <c r="AL8" i="3" s="1"/>
  <c r="AL21" i="3" s="1"/>
  <c r="AL11" i="4" s="1"/>
  <c r="AL15" i="4" s="1"/>
  <c r="AL16" i="4" s="1"/>
  <c r="J7" i="3"/>
  <c r="AQ8" i="3"/>
  <c r="AQ21" i="3" s="1"/>
  <c r="AQ11" i="4" s="1"/>
  <c r="AQ15" i="4" s="1"/>
  <c r="AQ16" i="4" s="1"/>
  <c r="AM8" i="3"/>
  <c r="AM21" i="3" s="1"/>
  <c r="AM11" i="4" s="1"/>
  <c r="AM15" i="4" s="1"/>
  <c r="AM16" i="4" s="1"/>
  <c r="I6" i="3"/>
  <c r="Y8" i="3"/>
  <c r="Y21" i="3" s="1"/>
  <c r="Y11" i="4" s="1"/>
  <c r="Y15" i="4" s="1"/>
  <c r="Y16" i="4" s="1"/>
  <c r="X28" i="6" l="1"/>
  <c r="U38" i="6"/>
  <c r="J29" i="6"/>
  <c r="T73" i="5"/>
  <c r="AD73" i="5"/>
  <c r="Z73" i="5"/>
  <c r="Y73" i="5"/>
  <c r="P73" i="5"/>
  <c r="L73" i="5"/>
  <c r="AR73" i="5"/>
  <c r="AG73" i="5"/>
  <c r="AI73" i="5"/>
  <c r="U73" i="5"/>
  <c r="Q73" i="5"/>
  <c r="AO73" i="5"/>
  <c r="AN73" i="5"/>
  <c r="S73" i="5"/>
  <c r="AQ73" i="5"/>
  <c r="W73" i="5"/>
  <c r="AL73" i="5"/>
  <c r="AP73" i="5"/>
  <c r="AM73" i="5"/>
  <c r="M73" i="5"/>
  <c r="R73" i="5"/>
  <c r="J104" i="5"/>
  <c r="J73" i="5"/>
  <c r="J79" i="5" s="1"/>
  <c r="V73" i="5"/>
  <c r="AK73" i="5"/>
  <c r="X73" i="5"/>
  <c r="AL31" i="5"/>
  <c r="AL53" i="5" s="1"/>
  <c r="AL54" i="5" s="1"/>
  <c r="AL55" i="5" s="1"/>
  <c r="V31" i="5"/>
  <c r="V53" i="5" s="1"/>
  <c r="V54" i="5" s="1"/>
  <c r="V55" i="5" s="1"/>
  <c r="J65" i="5"/>
  <c r="AK31" i="5"/>
  <c r="AK53" i="5" s="1"/>
  <c r="AK54" i="5" s="1"/>
  <c r="AK55" i="5" s="1"/>
  <c r="AN31" i="5"/>
  <c r="AN53" i="5" s="1"/>
  <c r="AN54" i="5" s="1"/>
  <c r="AN55" i="5" s="1"/>
  <c r="K72" i="5"/>
  <c r="AN72" i="5"/>
  <c r="Q72" i="5"/>
  <c r="Q78" i="5"/>
  <c r="AR72" i="5"/>
  <c r="AR78" i="5"/>
  <c r="AG72" i="5"/>
  <c r="AG78" i="5"/>
  <c r="AO40" i="5"/>
  <c r="AO45" i="5" s="1"/>
  <c r="AO113" i="5" s="1"/>
  <c r="AO15" i="6" s="1"/>
  <c r="AO37" i="6" s="1"/>
  <c r="AO71" i="5"/>
  <c r="M40" i="5"/>
  <c r="M45" i="5" s="1"/>
  <c r="M113" i="5" s="1"/>
  <c r="M15" i="6" s="1"/>
  <c r="M37" i="6" s="1"/>
  <c r="M71" i="5"/>
  <c r="AE40" i="5"/>
  <c r="AE45" i="5" s="1"/>
  <c r="AE113" i="5" s="1"/>
  <c r="AE15" i="6" s="1"/>
  <c r="AE37" i="6" s="1"/>
  <c r="AE71" i="5"/>
  <c r="AP40" i="5"/>
  <c r="AP45" i="5" s="1"/>
  <c r="AP113" i="5" s="1"/>
  <c r="AP15" i="6" s="1"/>
  <c r="AP37" i="6" s="1"/>
  <c r="AP71" i="5"/>
  <c r="AL40" i="5"/>
  <c r="AL71" i="5"/>
  <c r="L40" i="5"/>
  <c r="L45" i="5" s="1"/>
  <c r="L113" i="5" s="1"/>
  <c r="L15" i="6" s="1"/>
  <c r="L37" i="6" s="1"/>
  <c r="L71" i="5"/>
  <c r="R40" i="5"/>
  <c r="R45" i="5" s="1"/>
  <c r="R113" i="5" s="1"/>
  <c r="R15" i="6" s="1"/>
  <c r="R37" i="6" s="1"/>
  <c r="R71" i="5"/>
  <c r="K38" i="5"/>
  <c r="K41" i="5" s="1"/>
  <c r="K53" i="5"/>
  <c r="K54" i="5" s="1"/>
  <c r="K55" i="5" s="1"/>
  <c r="V38" i="5"/>
  <c r="Q47" i="5"/>
  <c r="Q48" i="5" s="1"/>
  <c r="AR49" i="5"/>
  <c r="AR57" i="5"/>
  <c r="J56" i="5"/>
  <c r="I56" i="5" s="1"/>
  <c r="N40" i="5"/>
  <c r="N45" i="5" s="1"/>
  <c r="N113" i="5" s="1"/>
  <c r="N15" i="6" s="1"/>
  <c r="N37" i="6" s="1"/>
  <c r="N71" i="5"/>
  <c r="AC40" i="5"/>
  <c r="AC45" i="5" s="1"/>
  <c r="AC113" i="5" s="1"/>
  <c r="AC15" i="6" s="1"/>
  <c r="AC37" i="6" s="1"/>
  <c r="AC71" i="5"/>
  <c r="T40" i="5"/>
  <c r="T45" i="5" s="1"/>
  <c r="T113" i="5" s="1"/>
  <c r="T15" i="6" s="1"/>
  <c r="T37" i="6" s="1"/>
  <c r="T71" i="5"/>
  <c r="V40" i="5"/>
  <c r="V45" i="5" s="1"/>
  <c r="V113" i="5" s="1"/>
  <c r="V15" i="6" s="1"/>
  <c r="V37" i="6" s="1"/>
  <c r="V71" i="5"/>
  <c r="AJ40" i="5"/>
  <c r="AJ45" i="5" s="1"/>
  <c r="AJ113" i="5" s="1"/>
  <c r="AJ15" i="6" s="1"/>
  <c r="AJ37" i="6" s="1"/>
  <c r="AJ71" i="5"/>
  <c r="AQ40" i="5"/>
  <c r="AQ45" i="5" s="1"/>
  <c r="AQ113" i="5" s="1"/>
  <c r="AQ15" i="6" s="1"/>
  <c r="AQ37" i="6" s="1"/>
  <c r="AQ71" i="5"/>
  <c r="U40" i="5"/>
  <c r="U45" i="5" s="1"/>
  <c r="U113" i="5" s="1"/>
  <c r="U15" i="6" s="1"/>
  <c r="U37" i="6" s="1"/>
  <c r="U71" i="5"/>
  <c r="AB40" i="5"/>
  <c r="AB45" i="5" s="1"/>
  <c r="AB113" i="5" s="1"/>
  <c r="AB15" i="6" s="1"/>
  <c r="AB37" i="6" s="1"/>
  <c r="AB71" i="5"/>
  <c r="AK38" i="5"/>
  <c r="AL38" i="5"/>
  <c r="Q57" i="5"/>
  <c r="J40" i="5"/>
  <c r="J71" i="5"/>
  <c r="J6" i="2"/>
  <c r="Y40" i="5"/>
  <c r="Y45" i="5" s="1"/>
  <c r="Y113" i="5" s="1"/>
  <c r="Y15" i="6" s="1"/>
  <c r="Y37" i="6" s="1"/>
  <c r="Y71" i="5"/>
  <c r="W40" i="5"/>
  <c r="W45" i="5" s="1"/>
  <c r="W113" i="5" s="1"/>
  <c r="W15" i="6" s="1"/>
  <c r="W37" i="6" s="1"/>
  <c r="W71" i="5"/>
  <c r="AH40" i="5"/>
  <c r="AH45" i="5" s="1"/>
  <c r="AH113" i="5" s="1"/>
  <c r="AH15" i="6" s="1"/>
  <c r="AH37" i="6" s="1"/>
  <c r="AH71" i="5"/>
  <c r="O40" i="5"/>
  <c r="O45" i="5" s="1"/>
  <c r="O113" i="5" s="1"/>
  <c r="O15" i="6" s="1"/>
  <c r="O37" i="6" s="1"/>
  <c r="O71" i="5"/>
  <c r="AK40" i="5"/>
  <c r="AK45" i="5" s="1"/>
  <c r="AK113" i="5" s="1"/>
  <c r="AK15" i="6" s="1"/>
  <c r="AK37" i="6" s="1"/>
  <c r="AK71" i="5"/>
  <c r="AD40" i="5"/>
  <c r="AD45" i="5" s="1"/>
  <c r="AD113" i="5" s="1"/>
  <c r="AD15" i="6" s="1"/>
  <c r="AD37" i="6" s="1"/>
  <c r="AD71" i="5"/>
  <c r="AM40" i="5"/>
  <c r="AM45" i="5" s="1"/>
  <c r="AM113" i="5" s="1"/>
  <c r="AM15" i="6" s="1"/>
  <c r="AM37" i="6" s="1"/>
  <c r="AM71" i="5"/>
  <c r="I37" i="5"/>
  <c r="J47" i="5"/>
  <c r="K49" i="5"/>
  <c r="K57" i="5"/>
  <c r="X40" i="5"/>
  <c r="X45" i="5" s="1"/>
  <c r="X113" i="5" s="1"/>
  <c r="X15" i="6" s="1"/>
  <c r="X37" i="6" s="1"/>
  <c r="X71" i="5"/>
  <c r="AF40" i="5"/>
  <c r="AF45" i="5" s="1"/>
  <c r="AF113" i="5" s="1"/>
  <c r="AF15" i="6" s="1"/>
  <c r="AF37" i="6" s="1"/>
  <c r="AF71" i="5"/>
  <c r="AI40" i="5"/>
  <c r="AI45" i="5" s="1"/>
  <c r="AI113" i="5" s="1"/>
  <c r="AI15" i="6" s="1"/>
  <c r="AI37" i="6" s="1"/>
  <c r="AI71" i="5"/>
  <c r="P40" i="5"/>
  <c r="P45" i="5" s="1"/>
  <c r="P113" i="5" s="1"/>
  <c r="P15" i="6" s="1"/>
  <c r="P37" i="6" s="1"/>
  <c r="P71" i="5"/>
  <c r="AA40" i="5"/>
  <c r="AA45" i="5" s="1"/>
  <c r="AA113" i="5" s="1"/>
  <c r="AA15" i="6" s="1"/>
  <c r="AA37" i="6" s="1"/>
  <c r="AA71" i="5"/>
  <c r="Z40" i="5"/>
  <c r="Z45" i="5" s="1"/>
  <c r="Z113" i="5" s="1"/>
  <c r="Z15" i="6" s="1"/>
  <c r="Z37" i="6" s="1"/>
  <c r="Z71" i="5"/>
  <c r="S40" i="5"/>
  <c r="S45" i="5" s="1"/>
  <c r="S113" i="5" s="1"/>
  <c r="S15" i="6" s="1"/>
  <c r="S37" i="6" s="1"/>
  <c r="S71" i="5"/>
  <c r="AS40" i="5"/>
  <c r="AS45" i="5" s="1"/>
  <c r="AS113" i="5" s="1"/>
  <c r="AS15" i="6" s="1"/>
  <c r="AS37" i="6" s="1"/>
  <c r="AS71" i="5"/>
  <c r="Q31" i="5"/>
  <c r="AG49" i="5"/>
  <c r="AG57" i="5"/>
  <c r="AN49" i="5"/>
  <c r="AN57" i="5"/>
  <c r="J31" i="5"/>
  <c r="AM31" i="5"/>
  <c r="T31" i="5"/>
  <c r="R31" i="5"/>
  <c r="X31" i="5"/>
  <c r="AC31" i="5"/>
  <c r="AF31" i="5"/>
  <c r="W31" i="5"/>
  <c r="AQ32" i="5"/>
  <c r="AQ39" i="5" s="1"/>
  <c r="AQ31" i="5"/>
  <c r="AA32" i="5"/>
  <c r="AA39" i="5" s="1"/>
  <c r="AA31" i="5"/>
  <c r="M31" i="5"/>
  <c r="AJ31" i="5"/>
  <c r="Y32" i="5"/>
  <c r="Y39" i="5" s="1"/>
  <c r="Y31" i="5"/>
  <c r="AR31" i="5"/>
  <c r="AS31" i="5"/>
  <c r="L31" i="5"/>
  <c r="AE32" i="5"/>
  <c r="AE39" i="5" s="1"/>
  <c r="AE31" i="5"/>
  <c r="O32" i="5"/>
  <c r="O39" i="5" s="1"/>
  <c r="O31" i="5"/>
  <c r="AO31" i="5"/>
  <c r="AB31" i="5"/>
  <c r="U31" i="5"/>
  <c r="AI32" i="5"/>
  <c r="AI39" i="5" s="1"/>
  <c r="AI31" i="5"/>
  <c r="S32" i="5"/>
  <c r="S39" i="5" s="1"/>
  <c r="S31" i="5"/>
  <c r="P31" i="5"/>
  <c r="AD31" i="5"/>
  <c r="AP31" i="5"/>
  <c r="Z31" i="5"/>
  <c r="AH31" i="5"/>
  <c r="AG31" i="5"/>
  <c r="N31" i="5"/>
  <c r="I8" i="5"/>
  <c r="I7" i="6"/>
  <c r="I8" i="6"/>
  <c r="I8" i="4"/>
  <c r="X8" i="3"/>
  <c r="X21" i="3" s="1"/>
  <c r="X11" i="4" s="1"/>
  <c r="X15" i="4" s="1"/>
  <c r="X16" i="4" s="1"/>
  <c r="W8" i="3"/>
  <c r="W21" i="3" s="1"/>
  <c r="W11" i="4" s="1"/>
  <c r="W15" i="4" s="1"/>
  <c r="W16" i="4" s="1"/>
  <c r="AN8" i="3"/>
  <c r="AN21" i="3" s="1"/>
  <c r="AN11" i="4" s="1"/>
  <c r="AN15" i="4" s="1"/>
  <c r="AN16" i="4" s="1"/>
  <c r="J8" i="3"/>
  <c r="J21" i="3" s="1"/>
  <c r="J11" i="4" s="1"/>
  <c r="P8" i="3"/>
  <c r="P21" i="3" s="1"/>
  <c r="P11" i="4" s="1"/>
  <c r="P15" i="4" s="1"/>
  <c r="P16" i="4" s="1"/>
  <c r="Q11" i="3"/>
  <c r="Q15" i="3" s="1"/>
  <c r="Q18" i="3" s="1"/>
  <c r="Q31" i="3" s="1"/>
  <c r="Q12" i="3"/>
  <c r="AD12" i="3"/>
  <c r="AD11" i="3"/>
  <c r="AD15" i="3" s="1"/>
  <c r="AD18" i="3" s="1"/>
  <c r="AD31" i="3" s="1"/>
  <c r="AB11" i="3"/>
  <c r="AB15" i="3" s="1"/>
  <c r="AB18" i="3" s="1"/>
  <c r="AB12" i="3"/>
  <c r="AE11" i="3"/>
  <c r="AE15" i="3" s="1"/>
  <c r="AE18" i="3" s="1"/>
  <c r="AE31" i="3" s="1"/>
  <c r="AE12" i="3"/>
  <c r="K11" i="3"/>
  <c r="K15" i="3" s="1"/>
  <c r="K18" i="3" s="1"/>
  <c r="K31" i="3" s="1"/>
  <c r="K12" i="3"/>
  <c r="AL12" i="3"/>
  <c r="AL11" i="3"/>
  <c r="AL15" i="3" s="1"/>
  <c r="AL18" i="3" s="1"/>
  <c r="AO12" i="3"/>
  <c r="AO11" i="3"/>
  <c r="AO15" i="3" s="1"/>
  <c r="AO18" i="3" s="1"/>
  <c r="AO31" i="3" s="1"/>
  <c r="L12" i="3"/>
  <c r="L11" i="3"/>
  <c r="L15" i="3" s="1"/>
  <c r="L18" i="3" s="1"/>
  <c r="T11" i="3"/>
  <c r="T15" i="3" s="1"/>
  <c r="T18" i="3" s="1"/>
  <c r="T31" i="3" s="1"/>
  <c r="T12" i="3"/>
  <c r="Y12" i="3"/>
  <c r="Y11" i="3"/>
  <c r="Y15" i="3" s="1"/>
  <c r="Y18" i="3" s="1"/>
  <c r="Y31" i="3" s="1"/>
  <c r="AM11" i="3"/>
  <c r="AM15" i="3" s="1"/>
  <c r="AM18" i="3" s="1"/>
  <c r="AM31" i="3" s="1"/>
  <c r="AM12" i="3"/>
  <c r="AQ11" i="3"/>
  <c r="AQ15" i="3" s="1"/>
  <c r="AQ18" i="3" s="1"/>
  <c r="AQ31" i="3" s="1"/>
  <c r="AQ12" i="3"/>
  <c r="V11" i="3"/>
  <c r="V15" i="3" s="1"/>
  <c r="V18" i="3" s="1"/>
  <c r="V31" i="3" s="1"/>
  <c r="V12" i="3"/>
  <c r="AF12" i="3"/>
  <c r="AF11" i="3"/>
  <c r="AF15" i="3" s="1"/>
  <c r="AF18" i="3" s="1"/>
  <c r="AF31" i="3" s="1"/>
  <c r="AP12" i="3"/>
  <c r="AP11" i="3"/>
  <c r="AP15" i="3" s="1"/>
  <c r="AP18" i="3" s="1"/>
  <c r="AP31" i="3" s="1"/>
  <c r="AK11" i="3"/>
  <c r="AK15" i="3" s="1"/>
  <c r="AK18" i="3" s="1"/>
  <c r="AK31" i="3" s="1"/>
  <c r="AK12" i="3"/>
  <c r="O11" i="3"/>
  <c r="O15" i="3" s="1"/>
  <c r="O18" i="3" s="1"/>
  <c r="O12" i="3"/>
  <c r="N11" i="3"/>
  <c r="N15" i="3" s="1"/>
  <c r="N18" i="3" s="1"/>
  <c r="N31" i="3" s="1"/>
  <c r="N12" i="3"/>
  <c r="AG12" i="3"/>
  <c r="AG11" i="3"/>
  <c r="AG15" i="3" s="1"/>
  <c r="AG18" i="3" s="1"/>
  <c r="AG31" i="3" s="1"/>
  <c r="AC12" i="3"/>
  <c r="AC11" i="3"/>
  <c r="AC15" i="3" s="1"/>
  <c r="AC18" i="3" s="1"/>
  <c r="AC31" i="3" s="1"/>
  <c r="AJ11" i="3"/>
  <c r="AJ15" i="3" s="1"/>
  <c r="AJ18" i="3" s="1"/>
  <c r="AJ31" i="3" s="1"/>
  <c r="AJ12" i="3"/>
  <c r="X11" i="3"/>
  <c r="X15" i="3" s="1"/>
  <c r="X18" i="3" s="1"/>
  <c r="X31" i="3" s="1"/>
  <c r="S11" i="3"/>
  <c r="S15" i="3" s="1"/>
  <c r="S18" i="3" s="1"/>
  <c r="S12" i="3"/>
  <c r="I7" i="3"/>
  <c r="AH12" i="3"/>
  <c r="AH11" i="3"/>
  <c r="AH15" i="3" s="1"/>
  <c r="AH18" i="3" s="1"/>
  <c r="AH31" i="3" s="1"/>
  <c r="U11" i="3"/>
  <c r="U15" i="3" s="1"/>
  <c r="U18" i="3" s="1"/>
  <c r="U31" i="3" s="1"/>
  <c r="U12" i="3"/>
  <c r="AR11" i="3"/>
  <c r="AR15" i="3" s="1"/>
  <c r="AR18" i="3" s="1"/>
  <c r="AR31" i="3" s="1"/>
  <c r="AR12" i="3"/>
  <c r="AA11" i="3"/>
  <c r="AA15" i="3" s="1"/>
  <c r="AA18" i="3" s="1"/>
  <c r="AA31" i="3" s="1"/>
  <c r="AA12" i="3"/>
  <c r="P11" i="3"/>
  <c r="P15" i="3" s="1"/>
  <c r="P18" i="3" s="1"/>
  <c r="P31" i="3" s="1"/>
  <c r="R12" i="3"/>
  <c r="R11" i="3"/>
  <c r="R15" i="3" s="1"/>
  <c r="R18" i="3" s="1"/>
  <c r="R31" i="3" s="1"/>
  <c r="AI11" i="3"/>
  <c r="AI15" i="3" s="1"/>
  <c r="AI18" i="3" s="1"/>
  <c r="AI31" i="3" s="1"/>
  <c r="AI12" i="3"/>
  <c r="AS11" i="3"/>
  <c r="AS15" i="3" s="1"/>
  <c r="AS18" i="3" s="1"/>
  <c r="AS31" i="3" s="1"/>
  <c r="AS12" i="3"/>
  <c r="Z12" i="3"/>
  <c r="Z11" i="3"/>
  <c r="Z15" i="3" s="1"/>
  <c r="Z18" i="3" s="1"/>
  <c r="Z31" i="3" s="1"/>
  <c r="M12" i="3"/>
  <c r="M11" i="3"/>
  <c r="M15" i="3" s="1"/>
  <c r="M18" i="3" s="1"/>
  <c r="M31" i="3" s="1"/>
  <c r="AA28" i="6" l="1"/>
  <c r="X38" i="6"/>
  <c r="AN38" i="5"/>
  <c r="AN41" i="5" s="1"/>
  <c r="K58" i="5"/>
  <c r="AL41" i="5"/>
  <c r="I39" i="5"/>
  <c r="AK41" i="5"/>
  <c r="I40" i="5"/>
  <c r="V41" i="5"/>
  <c r="S72" i="5"/>
  <c r="S78" i="5"/>
  <c r="AI72" i="5"/>
  <c r="AI78" i="5"/>
  <c r="AL45" i="5"/>
  <c r="AH72" i="5"/>
  <c r="AH78" i="5"/>
  <c r="AJ72" i="5"/>
  <c r="AJ78" i="5"/>
  <c r="AP72" i="5"/>
  <c r="AP78" i="5"/>
  <c r="AS72" i="5"/>
  <c r="AS78" i="5"/>
  <c r="Z72" i="5"/>
  <c r="Z78" i="5"/>
  <c r="P72" i="5"/>
  <c r="P78" i="5"/>
  <c r="AF72" i="5"/>
  <c r="AF78" i="5"/>
  <c r="AA72" i="5"/>
  <c r="AA78" i="5"/>
  <c r="X72" i="5"/>
  <c r="X78" i="5"/>
  <c r="J72" i="5"/>
  <c r="J78" i="5"/>
  <c r="AM72" i="5"/>
  <c r="AM78" i="5"/>
  <c r="AK72" i="5"/>
  <c r="AK78" i="5"/>
  <c r="Y72" i="5"/>
  <c r="Y78" i="5"/>
  <c r="U72" i="5"/>
  <c r="U78" i="5"/>
  <c r="T72" i="5"/>
  <c r="T78" i="5"/>
  <c r="N72" i="5"/>
  <c r="N78" i="5"/>
  <c r="L72" i="5"/>
  <c r="L78" i="5"/>
  <c r="M72" i="5"/>
  <c r="M78" i="5"/>
  <c r="J45" i="5"/>
  <c r="J113" i="5" s="1"/>
  <c r="J15" i="6" s="1"/>
  <c r="J37" i="6" s="1"/>
  <c r="AN58" i="5"/>
  <c r="AD72" i="5"/>
  <c r="AD78" i="5"/>
  <c r="O72" i="5"/>
  <c r="O78" i="5"/>
  <c r="W72" i="5"/>
  <c r="W78" i="5"/>
  <c r="AB72" i="5"/>
  <c r="AB78" i="5"/>
  <c r="AQ72" i="5"/>
  <c r="AQ78" i="5"/>
  <c r="V72" i="5"/>
  <c r="V78" i="5"/>
  <c r="AC72" i="5"/>
  <c r="AC78" i="5"/>
  <c r="R72" i="5"/>
  <c r="R78" i="5"/>
  <c r="AL72" i="5"/>
  <c r="AL78" i="5"/>
  <c r="AE72" i="5"/>
  <c r="AE78" i="5"/>
  <c r="AO72" i="5"/>
  <c r="AO78" i="5"/>
  <c r="AG38" i="5"/>
  <c r="AG41" i="5" s="1"/>
  <c r="AG53" i="5"/>
  <c r="AG54" i="5" s="1"/>
  <c r="AG55" i="5" s="1"/>
  <c r="AG58" i="5" s="1"/>
  <c r="AD38" i="5"/>
  <c r="AD41" i="5" s="1"/>
  <c r="AD53" i="5"/>
  <c r="AD54" i="5" s="1"/>
  <c r="AD55" i="5" s="1"/>
  <c r="AI38" i="5"/>
  <c r="AI41" i="5" s="1"/>
  <c r="AI53" i="5"/>
  <c r="AI54" i="5" s="1"/>
  <c r="AI55" i="5" s="1"/>
  <c r="AO38" i="5"/>
  <c r="AO41" i="5" s="1"/>
  <c r="AO53" i="5"/>
  <c r="AO54" i="5" s="1"/>
  <c r="AO55" i="5" s="1"/>
  <c r="Y38" i="5"/>
  <c r="Y41" i="5" s="1"/>
  <c r="Y53" i="5"/>
  <c r="Y54" i="5" s="1"/>
  <c r="Y55" i="5" s="1"/>
  <c r="AA38" i="5"/>
  <c r="AA41" i="5" s="1"/>
  <c r="AA53" i="5"/>
  <c r="AA54" i="5" s="1"/>
  <c r="AA55" i="5" s="1"/>
  <c r="W38" i="5"/>
  <c r="W41" i="5" s="1"/>
  <c r="W53" i="5"/>
  <c r="W54" i="5" s="1"/>
  <c r="W55" i="5" s="1"/>
  <c r="R38" i="5"/>
  <c r="R41" i="5" s="1"/>
  <c r="R53" i="5"/>
  <c r="R54" i="5" s="1"/>
  <c r="R55" i="5" s="1"/>
  <c r="AE49" i="5"/>
  <c r="AE57" i="5"/>
  <c r="U49" i="5"/>
  <c r="U57" i="5"/>
  <c r="AS49" i="5"/>
  <c r="AS57" i="5"/>
  <c r="AA49" i="5"/>
  <c r="AA57" i="5"/>
  <c r="X49" i="5"/>
  <c r="X57" i="5"/>
  <c r="AD49" i="5"/>
  <c r="AD57" i="5"/>
  <c r="AH49" i="5"/>
  <c r="AH57" i="5"/>
  <c r="AB49" i="5"/>
  <c r="AB57" i="5"/>
  <c r="AH38" i="5"/>
  <c r="AH41" i="5" s="1"/>
  <c r="AH53" i="5"/>
  <c r="AH54" i="5" s="1"/>
  <c r="AH55" i="5" s="1"/>
  <c r="P38" i="5"/>
  <c r="P41" i="5" s="1"/>
  <c r="P53" i="5"/>
  <c r="P54" i="5" s="1"/>
  <c r="P55" i="5" s="1"/>
  <c r="O38" i="5"/>
  <c r="O41" i="5" s="1"/>
  <c r="O53" i="5"/>
  <c r="O54" i="5" s="1"/>
  <c r="O55" i="5" s="1"/>
  <c r="L38" i="5"/>
  <c r="L41" i="5" s="1"/>
  <c r="L53" i="5"/>
  <c r="L54" i="5" s="1"/>
  <c r="L55" i="5" s="1"/>
  <c r="AF38" i="5"/>
  <c r="AF41" i="5" s="1"/>
  <c r="AF53" i="5"/>
  <c r="AF54" i="5" s="1"/>
  <c r="AF55" i="5" s="1"/>
  <c r="T38" i="5"/>
  <c r="T41" i="5" s="1"/>
  <c r="T53" i="5"/>
  <c r="T54" i="5" s="1"/>
  <c r="T55" i="5" s="1"/>
  <c r="M49" i="5"/>
  <c r="M57" i="5"/>
  <c r="S49" i="5"/>
  <c r="S57" i="5"/>
  <c r="P49" i="5"/>
  <c r="P57" i="5"/>
  <c r="N49" i="5"/>
  <c r="N57" i="5"/>
  <c r="AK49" i="5"/>
  <c r="AK57" i="5"/>
  <c r="AK58" i="5" s="1"/>
  <c r="W49" i="5"/>
  <c r="W57" i="5"/>
  <c r="Q49" i="5"/>
  <c r="Z38" i="5"/>
  <c r="Z41" i="5" s="1"/>
  <c r="Z53" i="5"/>
  <c r="Z54" i="5" s="1"/>
  <c r="Z55" i="5" s="1"/>
  <c r="S38" i="5"/>
  <c r="S41" i="5" s="1"/>
  <c r="S53" i="5"/>
  <c r="S54" i="5" s="1"/>
  <c r="S55" i="5" s="1"/>
  <c r="U38" i="5"/>
  <c r="U41" i="5" s="1"/>
  <c r="U53" i="5"/>
  <c r="U54" i="5" s="1"/>
  <c r="U55" i="5" s="1"/>
  <c r="AS38" i="5"/>
  <c r="AS41" i="5" s="1"/>
  <c r="AS53" i="5"/>
  <c r="AS54" i="5" s="1"/>
  <c r="AS55" i="5" s="1"/>
  <c r="AJ38" i="5"/>
  <c r="AJ41" i="5" s="1"/>
  <c r="AJ53" i="5"/>
  <c r="AJ54" i="5" s="1"/>
  <c r="AJ55" i="5" s="1"/>
  <c r="AQ38" i="5"/>
  <c r="AQ41" i="5" s="1"/>
  <c r="AQ53" i="5"/>
  <c r="AQ54" i="5" s="1"/>
  <c r="AQ55" i="5" s="1"/>
  <c r="AC38" i="5"/>
  <c r="AC41" i="5" s="1"/>
  <c r="AC53" i="5"/>
  <c r="AC54" i="5" s="1"/>
  <c r="AC55" i="5" s="1"/>
  <c r="R49" i="5"/>
  <c r="R57" i="5"/>
  <c r="AP49" i="5"/>
  <c r="AP57" i="5"/>
  <c r="T49" i="5"/>
  <c r="T57" i="5"/>
  <c r="AI49" i="5"/>
  <c r="AI57" i="5"/>
  <c r="AQ49" i="5"/>
  <c r="AQ57" i="5"/>
  <c r="J38" i="5"/>
  <c r="J53" i="5"/>
  <c r="Y49" i="5"/>
  <c r="Y57" i="5"/>
  <c r="AJ49" i="5"/>
  <c r="AJ57" i="5"/>
  <c r="N38" i="5"/>
  <c r="N41" i="5" s="1"/>
  <c r="N53" i="5"/>
  <c r="N54" i="5" s="1"/>
  <c r="N55" i="5" s="1"/>
  <c r="AP38" i="5"/>
  <c r="AP41" i="5" s="1"/>
  <c r="AP53" i="5"/>
  <c r="AP54" i="5" s="1"/>
  <c r="AP55" i="5" s="1"/>
  <c r="AP58" i="5" s="1"/>
  <c r="AB38" i="5"/>
  <c r="AB41" i="5" s="1"/>
  <c r="AB53" i="5"/>
  <c r="AB54" i="5" s="1"/>
  <c r="AB55" i="5" s="1"/>
  <c r="AE38" i="5"/>
  <c r="AE41" i="5" s="1"/>
  <c r="AE53" i="5"/>
  <c r="AE54" i="5" s="1"/>
  <c r="AE55" i="5" s="1"/>
  <c r="AR38" i="5"/>
  <c r="AR41" i="5" s="1"/>
  <c r="AR53" i="5"/>
  <c r="AR54" i="5" s="1"/>
  <c r="AR55" i="5" s="1"/>
  <c r="AR58" i="5" s="1"/>
  <c r="M38" i="5"/>
  <c r="M41" i="5" s="1"/>
  <c r="M53" i="5"/>
  <c r="M54" i="5" s="1"/>
  <c r="M55" i="5" s="1"/>
  <c r="X38" i="5"/>
  <c r="X41" i="5" s="1"/>
  <c r="X53" i="5"/>
  <c r="X54" i="5" s="1"/>
  <c r="X55" i="5" s="1"/>
  <c r="L49" i="5"/>
  <c r="L57" i="5"/>
  <c r="AO49" i="5"/>
  <c r="AO57" i="5"/>
  <c r="AM38" i="5"/>
  <c r="AM41" i="5" s="1"/>
  <c r="AM53" i="5"/>
  <c r="AM54" i="5" s="1"/>
  <c r="AM55" i="5" s="1"/>
  <c r="Z49" i="5"/>
  <c r="Z57" i="5"/>
  <c r="AF49" i="5"/>
  <c r="AF57" i="5"/>
  <c r="V49" i="5"/>
  <c r="V57" i="5"/>
  <c r="V58" i="5" s="1"/>
  <c r="AM49" i="5"/>
  <c r="AM57" i="5"/>
  <c r="O49" i="5"/>
  <c r="O57" i="5"/>
  <c r="AC49" i="5"/>
  <c r="AC57" i="5"/>
  <c r="Q38" i="5"/>
  <c r="Q41" i="5" s="1"/>
  <c r="Q53" i="5"/>
  <c r="Q54" i="5" s="1"/>
  <c r="Q55" i="5" s="1"/>
  <c r="Q58" i="5" s="1"/>
  <c r="I47" i="5"/>
  <c r="J48" i="5"/>
  <c r="J15" i="4"/>
  <c r="I11" i="4"/>
  <c r="J11" i="3"/>
  <c r="J15" i="3" s="1"/>
  <c r="AG32" i="3"/>
  <c r="AG33" i="3" s="1"/>
  <c r="W12" i="3"/>
  <c r="W39" i="3" s="1"/>
  <c r="W11" i="3"/>
  <c r="W15" i="3" s="1"/>
  <c r="W18" i="3" s="1"/>
  <c r="W31" i="3" s="1"/>
  <c r="AO32" i="3"/>
  <c r="AO33" i="3" s="1"/>
  <c r="AP32" i="3"/>
  <c r="AP33" i="3" s="1"/>
  <c r="K32" i="3"/>
  <c r="K33" i="3" s="1"/>
  <c r="AS32" i="3"/>
  <c r="AS33" i="3" s="1"/>
  <c r="Q32" i="3"/>
  <c r="Q33" i="3" s="1"/>
  <c r="AM32" i="3"/>
  <c r="AM33" i="3" s="1"/>
  <c r="AQ32" i="3"/>
  <c r="AQ33" i="3" s="1"/>
  <c r="AH38" i="3"/>
  <c r="AH37" i="3"/>
  <c r="AH39" i="3"/>
  <c r="N38" i="3"/>
  <c r="N39" i="3"/>
  <c r="N37" i="3"/>
  <c r="AK39" i="3"/>
  <c r="AK38" i="3"/>
  <c r="AK37" i="3"/>
  <c r="AL31" i="3"/>
  <c r="AL32" i="3"/>
  <c r="AE38" i="3"/>
  <c r="AE39" i="3"/>
  <c r="AE37" i="3"/>
  <c r="P32" i="3"/>
  <c r="P33" i="3" s="1"/>
  <c r="X12" i="3"/>
  <c r="AC38" i="3"/>
  <c r="AC39" i="3"/>
  <c r="AC37" i="3"/>
  <c r="AC40" i="3" s="1"/>
  <c r="AF39" i="3"/>
  <c r="AF37" i="3"/>
  <c r="AF38" i="3"/>
  <c r="Y38" i="3"/>
  <c r="Y39" i="3"/>
  <c r="Y37" i="3"/>
  <c r="AL38" i="3"/>
  <c r="AL39" i="3"/>
  <c r="AL37" i="3"/>
  <c r="AL40" i="3" s="1"/>
  <c r="AD38" i="3"/>
  <c r="AD37" i="3"/>
  <c r="AD39" i="3"/>
  <c r="AC32" i="3"/>
  <c r="AC33" i="3" s="1"/>
  <c r="AC42" i="3" s="1"/>
  <c r="AR32" i="3"/>
  <c r="AR33" i="3" s="1"/>
  <c r="AS38" i="3"/>
  <c r="AS39" i="3"/>
  <c r="AS37" i="3"/>
  <c r="AN11" i="3"/>
  <c r="AN15" i="3" s="1"/>
  <c r="AN18" i="3" s="1"/>
  <c r="J12" i="3"/>
  <c r="R38" i="3"/>
  <c r="R39" i="3"/>
  <c r="R37" i="3"/>
  <c r="S38" i="3"/>
  <c r="S37" i="3"/>
  <c r="S39" i="3"/>
  <c r="AJ37" i="3"/>
  <c r="AJ38" i="3"/>
  <c r="AJ39" i="3"/>
  <c r="O38" i="3"/>
  <c r="O37" i="3"/>
  <c r="O39" i="3"/>
  <c r="V38" i="3"/>
  <c r="V37" i="3"/>
  <c r="V39" i="3"/>
  <c r="AM38" i="3"/>
  <c r="AM37" i="3"/>
  <c r="AM39" i="3"/>
  <c r="T39" i="3"/>
  <c r="T38" i="3"/>
  <c r="T37" i="3"/>
  <c r="K38" i="3"/>
  <c r="K37" i="3"/>
  <c r="K39" i="3"/>
  <c r="AB39" i="3"/>
  <c r="AB37" i="3"/>
  <c r="AB38" i="3"/>
  <c r="Q38" i="3"/>
  <c r="Q39" i="3"/>
  <c r="Q37" i="3"/>
  <c r="AI32" i="3"/>
  <c r="AI33" i="3" s="1"/>
  <c r="R32" i="3"/>
  <c r="R33" i="3" s="1"/>
  <c r="AK32" i="3"/>
  <c r="AK33" i="3" s="1"/>
  <c r="AJ32" i="3"/>
  <c r="AJ33" i="3" s="1"/>
  <c r="AE32" i="3"/>
  <c r="AE33" i="3" s="1"/>
  <c r="AF32" i="3"/>
  <c r="AF33" i="3" s="1"/>
  <c r="Y32" i="3"/>
  <c r="Y33" i="3" s="1"/>
  <c r="AI38" i="3"/>
  <c r="AI39" i="3"/>
  <c r="AI37" i="3"/>
  <c r="AQ38" i="3"/>
  <c r="AQ37" i="3"/>
  <c r="AQ39" i="3"/>
  <c r="L32" i="3"/>
  <c r="L31" i="3"/>
  <c r="L33" i="3" s="1"/>
  <c r="Z32" i="3"/>
  <c r="Z33" i="3" s="1"/>
  <c r="Z39" i="3"/>
  <c r="Z38" i="3"/>
  <c r="Z37" i="3"/>
  <c r="I8" i="3"/>
  <c r="AA38" i="3"/>
  <c r="AA37" i="3"/>
  <c r="AA39" i="3"/>
  <c r="U39" i="3"/>
  <c r="U38" i="3"/>
  <c r="U37" i="3"/>
  <c r="L37" i="3"/>
  <c r="L39" i="3"/>
  <c r="L38" i="3"/>
  <c r="X32" i="3"/>
  <c r="X33" i="3" s="1"/>
  <c r="M38" i="3"/>
  <c r="M39" i="3"/>
  <c r="M37" i="3"/>
  <c r="AN12" i="3"/>
  <c r="W38" i="3"/>
  <c r="W37" i="3"/>
  <c r="P12" i="3"/>
  <c r="AR37" i="3"/>
  <c r="AR39" i="3"/>
  <c r="AR38" i="3"/>
  <c r="S31" i="3"/>
  <c r="S32" i="3"/>
  <c r="AG38" i="3"/>
  <c r="AG39" i="3"/>
  <c r="AG37" i="3"/>
  <c r="O31" i="3"/>
  <c r="O32" i="3"/>
  <c r="AP39" i="3"/>
  <c r="AP38" i="3"/>
  <c r="AP37" i="3"/>
  <c r="AO38" i="3"/>
  <c r="AO39" i="3"/>
  <c r="AO37" i="3"/>
  <c r="AB31" i="3"/>
  <c r="AB32" i="3"/>
  <c r="U32" i="3"/>
  <c r="U33" i="3" s="1"/>
  <c r="AD32" i="3"/>
  <c r="AD33" i="3" s="1"/>
  <c r="M32" i="3"/>
  <c r="M33" i="3" s="1"/>
  <c r="T32" i="3"/>
  <c r="T33" i="3" s="1"/>
  <c r="AA32" i="3"/>
  <c r="AA33" i="3" s="1"/>
  <c r="AH32" i="3"/>
  <c r="AH33" i="3" s="1"/>
  <c r="V32" i="3"/>
  <c r="V33" i="3" s="1"/>
  <c r="N32" i="3"/>
  <c r="N33" i="3" s="1"/>
  <c r="J18" i="3"/>
  <c r="AD28" i="6" l="1"/>
  <c r="AA38" i="6"/>
  <c r="AL57" i="5"/>
  <c r="AL58" i="5" s="1"/>
  <c r="AL113" i="5"/>
  <c r="J80" i="5"/>
  <c r="J81" i="5" s="1"/>
  <c r="J105" i="5"/>
  <c r="I78" i="5"/>
  <c r="J49" i="5"/>
  <c r="M58" i="5"/>
  <c r="AE58" i="5"/>
  <c r="AL49" i="5"/>
  <c r="I45" i="5"/>
  <c r="J57" i="5"/>
  <c r="U58" i="5"/>
  <c r="J7" i="2"/>
  <c r="AB58" i="5"/>
  <c r="N58" i="5"/>
  <c r="S58" i="5"/>
  <c r="X58" i="5"/>
  <c r="AS58" i="5"/>
  <c r="AQ58" i="5"/>
  <c r="R58" i="5"/>
  <c r="AA58" i="5"/>
  <c r="AO58" i="5"/>
  <c r="AD58" i="5"/>
  <c r="I48" i="5"/>
  <c r="T58" i="5"/>
  <c r="L58" i="5"/>
  <c r="P58" i="5"/>
  <c r="AM58" i="5"/>
  <c r="I53" i="5"/>
  <c r="J54" i="5"/>
  <c r="AC58" i="5"/>
  <c r="AJ58" i="5"/>
  <c r="Z58" i="5"/>
  <c r="W58" i="5"/>
  <c r="Y58" i="5"/>
  <c r="AI58" i="5"/>
  <c r="J41" i="5"/>
  <c r="I38" i="5"/>
  <c r="AF58" i="5"/>
  <c r="O58" i="5"/>
  <c r="AH58" i="5"/>
  <c r="J16" i="4"/>
  <c r="I16" i="4" s="1"/>
  <c r="G20" i="4" s="1"/>
  <c r="I15" i="4"/>
  <c r="G19" i="4" s="1"/>
  <c r="AP40" i="3"/>
  <c r="Z40" i="3"/>
  <c r="T40" i="3"/>
  <c r="T42" i="3" s="1"/>
  <c r="AM40" i="3"/>
  <c r="AM42" i="3" s="1"/>
  <c r="S40" i="3"/>
  <c r="O33" i="3"/>
  <c r="L40" i="3"/>
  <c r="L42" i="3" s="1"/>
  <c r="AO40" i="3"/>
  <c r="AO42" i="3" s="1"/>
  <c r="AG40" i="3"/>
  <c r="U40" i="3"/>
  <c r="AI40" i="3"/>
  <c r="AI42" i="3" s="1"/>
  <c r="AB33" i="3"/>
  <c r="AR40" i="3"/>
  <c r="U42" i="3"/>
  <c r="U12" i="4" s="1"/>
  <c r="U44" i="3"/>
  <c r="AC44" i="3"/>
  <c r="AC12" i="4"/>
  <c r="I15" i="3"/>
  <c r="W32" i="3"/>
  <c r="AR42" i="3"/>
  <c r="S33" i="3"/>
  <c r="S42" i="3" s="1"/>
  <c r="AP42" i="3"/>
  <c r="Z42" i="3"/>
  <c r="AL33" i="3"/>
  <c r="AL42" i="3" s="1"/>
  <c r="AG42" i="3"/>
  <c r="W33" i="3"/>
  <c r="P39" i="3"/>
  <c r="P37" i="3"/>
  <c r="P38" i="3"/>
  <c r="AA40" i="3"/>
  <c r="AA42" i="3" s="1"/>
  <c r="J38" i="3"/>
  <c r="J39" i="3"/>
  <c r="J37" i="3"/>
  <c r="M40" i="3"/>
  <c r="M42" i="3" s="1"/>
  <c r="K40" i="3"/>
  <c r="K42" i="3" s="1"/>
  <c r="O40" i="3"/>
  <c r="O42" i="3" s="1"/>
  <c r="AJ40" i="3"/>
  <c r="AJ42" i="3" s="1"/>
  <c r="R40" i="3"/>
  <c r="R42" i="3" s="1"/>
  <c r="AN31" i="3"/>
  <c r="AN32" i="3"/>
  <c r="AD40" i="3"/>
  <c r="AD42" i="3" s="1"/>
  <c r="AE40" i="3"/>
  <c r="AE42" i="3" s="1"/>
  <c r="N40" i="3"/>
  <c r="N42" i="3" s="1"/>
  <c r="AH40" i="3"/>
  <c r="AH42" i="3" s="1"/>
  <c r="X39" i="3"/>
  <c r="X37" i="3"/>
  <c r="X38" i="3"/>
  <c r="I18" i="3"/>
  <c r="J31" i="3"/>
  <c r="J32" i="3"/>
  <c r="AN39" i="3"/>
  <c r="AN38" i="3"/>
  <c r="AN37" i="3"/>
  <c r="W40" i="3"/>
  <c r="AQ40" i="3"/>
  <c r="AQ42" i="3" s="1"/>
  <c r="Q40" i="3"/>
  <c r="Q42" i="3" s="1"/>
  <c r="AB40" i="3"/>
  <c r="V40" i="3"/>
  <c r="V42" i="3" s="1"/>
  <c r="AS40" i="3"/>
  <c r="AS42" i="3" s="1"/>
  <c r="Y40" i="3"/>
  <c r="Y42" i="3" s="1"/>
  <c r="AF40" i="3"/>
  <c r="AF42" i="3" s="1"/>
  <c r="AK40" i="3"/>
  <c r="AK42" i="3" s="1"/>
  <c r="I57" i="5" l="1"/>
  <c r="I113" i="5"/>
  <c r="AL15" i="6"/>
  <c r="AL37" i="6" s="1"/>
  <c r="AG28" i="6"/>
  <c r="AD38" i="6"/>
  <c r="J84" i="5"/>
  <c r="J92" i="5"/>
  <c r="J95" i="5" s="1"/>
  <c r="J82" i="5"/>
  <c r="K76" i="5" s="1"/>
  <c r="F50" i="5"/>
  <c r="E13" i="2" s="1"/>
  <c r="I49" i="5"/>
  <c r="J55" i="5"/>
  <c r="I54" i="5"/>
  <c r="I41" i="5"/>
  <c r="F42" i="5"/>
  <c r="E10" i="2" s="1"/>
  <c r="R20" i="4"/>
  <c r="Z20" i="4"/>
  <c r="AH20" i="4"/>
  <c r="AP20" i="4"/>
  <c r="N20" i="4"/>
  <c r="V20" i="4"/>
  <c r="AD20" i="4"/>
  <c r="AL20" i="4"/>
  <c r="J20" i="4"/>
  <c r="K20" i="4"/>
  <c r="AG20" i="4"/>
  <c r="Q20" i="4"/>
  <c r="AJ20" i="4"/>
  <c r="T20" i="4"/>
  <c r="T21" i="4" s="1"/>
  <c r="AM20" i="4"/>
  <c r="W20" i="4"/>
  <c r="AN20" i="4"/>
  <c r="AS20" i="4"/>
  <c r="AC20" i="4"/>
  <c r="M20" i="4"/>
  <c r="AF20" i="4"/>
  <c r="P20" i="4"/>
  <c r="AI20" i="4"/>
  <c r="S20" i="4"/>
  <c r="U20" i="4"/>
  <c r="X20" i="4"/>
  <c r="AA20" i="4"/>
  <c r="AO20" i="4"/>
  <c r="Y20" i="4"/>
  <c r="AR20" i="4"/>
  <c r="AB20" i="4"/>
  <c r="L20" i="4"/>
  <c r="AE20" i="4"/>
  <c r="O20" i="4"/>
  <c r="AK20" i="4"/>
  <c r="AQ20" i="4"/>
  <c r="K19" i="4"/>
  <c r="O19" i="4"/>
  <c r="O21" i="4" s="1"/>
  <c r="S19" i="4"/>
  <c r="W19" i="4"/>
  <c r="W21" i="4" s="1"/>
  <c r="AA19" i="4"/>
  <c r="AE19" i="4"/>
  <c r="AE21" i="4" s="1"/>
  <c r="AI19" i="4"/>
  <c r="AI21" i="4" s="1"/>
  <c r="AM19" i="4"/>
  <c r="AM21" i="4" s="1"/>
  <c r="AQ19" i="4"/>
  <c r="N19" i="4"/>
  <c r="N21" i="4" s="1"/>
  <c r="R19" i="4"/>
  <c r="R21" i="4" s="1"/>
  <c r="Z19" i="4"/>
  <c r="Z21" i="4" s="1"/>
  <c r="AH19" i="4"/>
  <c r="AP19" i="4"/>
  <c r="L19" i="4"/>
  <c r="P19" i="4"/>
  <c r="T19" i="4"/>
  <c r="X19" i="4"/>
  <c r="X21" i="4" s="1"/>
  <c r="AB19" i="4"/>
  <c r="AB21" i="4" s="1"/>
  <c r="AF19" i="4"/>
  <c r="AJ19" i="4"/>
  <c r="AN19" i="4"/>
  <c r="AN21" i="4" s="1"/>
  <c r="AR19" i="4"/>
  <c r="AR21" i="4" s="1"/>
  <c r="M19" i="4"/>
  <c r="M21" i="4" s="1"/>
  <c r="Q19" i="4"/>
  <c r="U19" i="4"/>
  <c r="U21" i="4" s="1"/>
  <c r="Y19" i="4"/>
  <c r="Y21" i="4" s="1"/>
  <c r="AC19" i="4"/>
  <c r="AC21" i="4" s="1"/>
  <c r="AG19" i="4"/>
  <c r="AK19" i="4"/>
  <c r="AO19" i="4"/>
  <c r="AS19" i="4"/>
  <c r="AS21" i="4" s="1"/>
  <c r="V19" i="4"/>
  <c r="AD19" i="4"/>
  <c r="AL19" i="4"/>
  <c r="J19" i="4"/>
  <c r="J21" i="4" s="1"/>
  <c r="G23" i="4"/>
  <c r="AO44" i="3"/>
  <c r="AO12" i="4"/>
  <c r="AB42" i="3"/>
  <c r="AB12" i="4" s="1"/>
  <c r="AF44" i="3"/>
  <c r="AF12" i="4"/>
  <c r="AD44" i="3"/>
  <c r="AD12" i="4"/>
  <c r="Y44" i="3"/>
  <c r="Y12" i="4"/>
  <c r="Q44" i="3"/>
  <c r="Q12" i="4"/>
  <c r="AQ44" i="3"/>
  <c r="AQ12" i="4"/>
  <c r="AN33" i="3"/>
  <c r="AM44" i="3"/>
  <c r="AM12" i="4"/>
  <c r="AK44" i="3"/>
  <c r="AK12" i="4"/>
  <c r="V44" i="3"/>
  <c r="V12" i="4"/>
  <c r="I32" i="3"/>
  <c r="R44" i="3"/>
  <c r="R12" i="4"/>
  <c r="M44" i="3"/>
  <c r="M12" i="4"/>
  <c r="AA44" i="3"/>
  <c r="AA12" i="4"/>
  <c r="AP44" i="3"/>
  <c r="AP12" i="4"/>
  <c r="AH44" i="3"/>
  <c r="AH12" i="4"/>
  <c r="O44" i="3"/>
  <c r="O12" i="4"/>
  <c r="AL44" i="3"/>
  <c r="AL12" i="4"/>
  <c r="T44" i="3"/>
  <c r="T12" i="4"/>
  <c r="AR44" i="3"/>
  <c r="AR12" i="4"/>
  <c r="AS44" i="3"/>
  <c r="AS12" i="4"/>
  <c r="N44" i="3"/>
  <c r="N12" i="4"/>
  <c r="K44" i="3"/>
  <c r="K12" i="4"/>
  <c r="Z44" i="3"/>
  <c r="Z12" i="4"/>
  <c r="AE44" i="3"/>
  <c r="AE12" i="4"/>
  <c r="L44" i="3"/>
  <c r="L12" i="4"/>
  <c r="AB44" i="3"/>
  <c r="AJ44" i="3"/>
  <c r="AJ12" i="4"/>
  <c r="AG44" i="3"/>
  <c r="AG12" i="4"/>
  <c r="S44" i="3"/>
  <c r="S12" i="4"/>
  <c r="AI44" i="3"/>
  <c r="AI12" i="4"/>
  <c r="I31" i="3"/>
  <c r="J33" i="3"/>
  <c r="X40" i="3"/>
  <c r="X42" i="3" s="1"/>
  <c r="W42" i="3"/>
  <c r="I39" i="3"/>
  <c r="P40" i="3"/>
  <c r="P42" i="3" s="1"/>
  <c r="AN40" i="3"/>
  <c r="AN42" i="3" s="1"/>
  <c r="J40" i="3"/>
  <c r="I37" i="3"/>
  <c r="I38" i="3"/>
  <c r="AJ28" i="6" l="1"/>
  <c r="AG38" i="6"/>
  <c r="J99" i="5"/>
  <c r="J102" i="5" s="1"/>
  <c r="J106" i="5" s="1"/>
  <c r="J112" i="5"/>
  <c r="K77" i="5"/>
  <c r="K79" i="5" s="1"/>
  <c r="K80" i="5" s="1"/>
  <c r="K81" i="5" s="1"/>
  <c r="I55" i="5"/>
  <c r="J58" i="5"/>
  <c r="F59" i="5" s="1"/>
  <c r="E14" i="2" s="1"/>
  <c r="AO21" i="4"/>
  <c r="AL21" i="4"/>
  <c r="S21" i="4"/>
  <c r="AD21" i="4"/>
  <c r="L21" i="4"/>
  <c r="AK21" i="4"/>
  <c r="AP21" i="4"/>
  <c r="P21" i="4"/>
  <c r="K23" i="4"/>
  <c r="O23" i="4"/>
  <c r="S23" i="4"/>
  <c r="W23" i="4"/>
  <c r="AA23" i="4"/>
  <c r="AE23" i="4"/>
  <c r="AI23" i="4"/>
  <c r="AM23" i="4"/>
  <c r="AQ23" i="4"/>
  <c r="V23" i="4"/>
  <c r="AD23" i="4"/>
  <c r="AL23" i="4"/>
  <c r="J23" i="4"/>
  <c r="L23" i="4"/>
  <c r="P23" i="4"/>
  <c r="T23" i="4"/>
  <c r="X23" i="4"/>
  <c r="AB23" i="4"/>
  <c r="AF23" i="4"/>
  <c r="AJ23" i="4"/>
  <c r="AN23" i="4"/>
  <c r="AR23" i="4"/>
  <c r="M23" i="4"/>
  <c r="Q23" i="4"/>
  <c r="U23" i="4"/>
  <c r="Y23" i="4"/>
  <c r="AC23" i="4"/>
  <c r="AG23" i="4"/>
  <c r="AK23" i="4"/>
  <c r="AO23" i="4"/>
  <c r="AS23" i="4"/>
  <c r="N23" i="4"/>
  <c r="R23" i="4"/>
  <c r="Z23" i="4"/>
  <c r="AH23" i="4"/>
  <c r="AP23" i="4"/>
  <c r="V21" i="4"/>
  <c r="AG21" i="4"/>
  <c r="Q21" i="4"/>
  <c r="AH21" i="4"/>
  <c r="AQ21" i="4"/>
  <c r="AA21" i="4"/>
  <c r="K21" i="4"/>
  <c r="AF21" i="4"/>
  <c r="AJ21" i="4"/>
  <c r="P44" i="3"/>
  <c r="P12" i="4"/>
  <c r="W44" i="3"/>
  <c r="W12" i="4"/>
  <c r="AN44" i="3"/>
  <c r="AN12" i="4"/>
  <c r="X44" i="3"/>
  <c r="X12" i="4"/>
  <c r="J42" i="3"/>
  <c r="J12" i="4" s="1"/>
  <c r="I33" i="3"/>
  <c r="I40" i="3"/>
  <c r="J114" i="5" l="1"/>
  <c r="J118" i="5" s="1"/>
  <c r="J123" i="5" s="1"/>
  <c r="J12" i="6"/>
  <c r="J13" i="6" s="1"/>
  <c r="AM28" i="6"/>
  <c r="AJ38" i="6"/>
  <c r="K84" i="5"/>
  <c r="K82" i="5"/>
  <c r="L76" i="5" s="1"/>
  <c r="I12" i="4"/>
  <c r="J44" i="3"/>
  <c r="I42" i="3"/>
  <c r="J36" i="6" l="1"/>
  <c r="J55" i="6"/>
  <c r="AP28" i="6"/>
  <c r="AM38" i="6"/>
  <c r="K87" i="5"/>
  <c r="L77" i="5"/>
  <c r="L79" i="5" s="1"/>
  <c r="I44" i="3"/>
  <c r="E46" i="3"/>
  <c r="AS28" i="6" l="1"/>
  <c r="AS38" i="6" s="1"/>
  <c r="AP38" i="6"/>
  <c r="L80" i="5"/>
  <c r="K88" i="5"/>
  <c r="K89" i="5" l="1"/>
  <c r="K90" i="5" s="1"/>
  <c r="K111" i="5" s="1"/>
  <c r="K11" i="6" s="1"/>
  <c r="K93" i="5"/>
  <c r="K119" i="5" s="1"/>
  <c r="K17" i="6" s="1"/>
  <c r="L81" i="5"/>
  <c r="K92" i="5" l="1"/>
  <c r="K95" i="5" s="1"/>
  <c r="K96" i="5"/>
  <c r="L82" i="5"/>
  <c r="M76" i="5" s="1"/>
  <c r="L84" i="5"/>
  <c r="L87" i="5"/>
  <c r="L88" i="5" s="1"/>
  <c r="K100" i="5" l="1"/>
  <c r="K103" i="5" s="1"/>
  <c r="K120" i="5"/>
  <c r="K18" i="6" s="1"/>
  <c r="K20" i="6" s="1"/>
  <c r="K46" i="6" s="1"/>
  <c r="K99" i="5"/>
  <c r="K102" i="5" s="1"/>
  <c r="K112" i="5"/>
  <c r="L89" i="5"/>
  <c r="L90" i="5" s="1"/>
  <c r="L111" i="5" s="1"/>
  <c r="L11" i="6" s="1"/>
  <c r="L93" i="5"/>
  <c r="L119" i="5" s="1"/>
  <c r="L17" i="6" s="1"/>
  <c r="M77" i="5"/>
  <c r="M79" i="5" s="1"/>
  <c r="K114" i="5" l="1"/>
  <c r="K118" i="5" s="1"/>
  <c r="K123" i="5" s="1"/>
  <c r="K12" i="6"/>
  <c r="K13" i="6" s="1"/>
  <c r="K106" i="5"/>
  <c r="M80" i="5"/>
  <c r="M81" i="5" s="1"/>
  <c r="M82" i="5" s="1"/>
  <c r="N76" i="5" s="1"/>
  <c r="L92" i="5"/>
  <c r="L95" i="5" s="1"/>
  <c r="L96" i="5"/>
  <c r="K36" i="6" l="1"/>
  <c r="K55" i="6"/>
  <c r="K23" i="6"/>
  <c r="L100" i="5"/>
  <c r="L103" i="5" s="1"/>
  <c r="L120" i="5"/>
  <c r="L18" i="6" s="1"/>
  <c r="L20" i="6" s="1"/>
  <c r="L46" i="6" s="1"/>
  <c r="L99" i="5"/>
  <c r="L102" i="5" s="1"/>
  <c r="L112" i="5"/>
  <c r="L12" i="6" s="1"/>
  <c r="L13" i="6" s="1"/>
  <c r="M87" i="5"/>
  <c r="M88" i="5" s="1"/>
  <c r="M89" i="5" s="1"/>
  <c r="M90" i="5" s="1"/>
  <c r="M111" i="5" s="1"/>
  <c r="M11" i="6" s="1"/>
  <c r="M84" i="5"/>
  <c r="N77" i="5"/>
  <c r="N79" i="5" s="1"/>
  <c r="L106" i="5" l="1"/>
  <c r="L36" i="6"/>
  <c r="L55" i="6"/>
  <c r="L23" i="6"/>
  <c r="L39" i="6" s="1"/>
  <c r="L56" i="6" s="1"/>
  <c r="K39" i="6"/>
  <c r="K56" i="6" s="1"/>
  <c r="L114" i="5"/>
  <c r="L118" i="5" s="1"/>
  <c r="L123" i="5" s="1"/>
  <c r="M93" i="5"/>
  <c r="M92" i="5"/>
  <c r="M95" i="5" s="1"/>
  <c r="N80" i="5"/>
  <c r="N81" i="5" s="1"/>
  <c r="K40" i="6" l="1"/>
  <c r="K45" i="6" s="1"/>
  <c r="K47" i="6" s="1"/>
  <c r="L40" i="6"/>
  <c r="L45" i="6" s="1"/>
  <c r="L47" i="6" s="1"/>
  <c r="M96" i="5"/>
  <c r="M119" i="5"/>
  <c r="M17" i="6" s="1"/>
  <c r="M99" i="5"/>
  <c r="M102" i="5" s="1"/>
  <c r="M112" i="5"/>
  <c r="M12" i="6" s="1"/>
  <c r="M13" i="6" s="1"/>
  <c r="N87" i="5"/>
  <c r="N88" i="5" s="1"/>
  <c r="N84" i="5"/>
  <c r="N82" i="5"/>
  <c r="O76" i="5" s="1"/>
  <c r="M36" i="6" l="1"/>
  <c r="M55" i="6"/>
  <c r="M23" i="6"/>
  <c r="M100" i="5"/>
  <c r="M103" i="5" s="1"/>
  <c r="M106" i="5" s="1"/>
  <c r="M120" i="5"/>
  <c r="M18" i="6" s="1"/>
  <c r="M20" i="6" s="1"/>
  <c r="M46" i="6" s="1"/>
  <c r="M114" i="5"/>
  <c r="M118" i="5" s="1"/>
  <c r="N89" i="5"/>
  <c r="N90" i="5" s="1"/>
  <c r="N111" i="5" s="1"/>
  <c r="N11" i="6" s="1"/>
  <c r="N93" i="5"/>
  <c r="N119" i="5" s="1"/>
  <c r="N17" i="6" s="1"/>
  <c r="O77" i="5"/>
  <c r="O79" i="5" s="1"/>
  <c r="O80" i="5" s="1"/>
  <c r="O81" i="5" s="1"/>
  <c r="M123" i="5" l="1"/>
  <c r="M39" i="6"/>
  <c r="M56" i="6" s="1"/>
  <c r="N92" i="5"/>
  <c r="N95" i="5" s="1"/>
  <c r="N96" i="5"/>
  <c r="O82" i="5"/>
  <c r="P76" i="5" s="1"/>
  <c r="O84" i="5"/>
  <c r="O87" i="5"/>
  <c r="N100" i="5" l="1"/>
  <c r="N103" i="5" s="1"/>
  <c r="N120" i="5"/>
  <c r="N18" i="6" s="1"/>
  <c r="N20" i="6" s="1"/>
  <c r="N46" i="6" s="1"/>
  <c r="N99" i="5"/>
  <c r="N102" i="5" s="1"/>
  <c r="N112" i="5"/>
  <c r="N12" i="6" s="1"/>
  <c r="N13" i="6" s="1"/>
  <c r="P77" i="5"/>
  <c r="P79" i="5" s="1"/>
  <c r="O88" i="5"/>
  <c r="N36" i="6" l="1"/>
  <c r="N55" i="6"/>
  <c r="N23" i="6"/>
  <c r="N106" i="5"/>
  <c r="N114" i="5"/>
  <c r="N118" i="5" s="1"/>
  <c r="N123" i="5" s="1"/>
  <c r="O89" i="5"/>
  <c r="O90" i="5" s="1"/>
  <c r="O111" i="5" s="1"/>
  <c r="O11" i="6" s="1"/>
  <c r="O93" i="5"/>
  <c r="O119" i="5" s="1"/>
  <c r="O17" i="6" s="1"/>
  <c r="P80" i="5"/>
  <c r="P81" i="5" s="1"/>
  <c r="P84" i="5" s="1"/>
  <c r="N39" i="6" l="1"/>
  <c r="O92" i="5"/>
  <c r="O95" i="5" s="1"/>
  <c r="P82" i="5"/>
  <c r="Q76" i="5" s="1"/>
  <c r="Q77" i="5" s="1"/>
  <c r="P87" i="5"/>
  <c r="P88" i="5" s="1"/>
  <c r="O96" i="5"/>
  <c r="N40" i="6" l="1"/>
  <c r="N45" i="6" s="1"/>
  <c r="N47" i="6" s="1"/>
  <c r="N56" i="6"/>
  <c r="O100" i="5"/>
  <c r="O103" i="5" s="1"/>
  <c r="O120" i="5"/>
  <c r="O18" i="6" s="1"/>
  <c r="O20" i="6" s="1"/>
  <c r="O46" i="6" s="1"/>
  <c r="O99" i="5"/>
  <c r="O102" i="5" s="1"/>
  <c r="O112" i="5"/>
  <c r="O12" i="6" s="1"/>
  <c r="O13" i="6" s="1"/>
  <c r="Q79" i="5"/>
  <c r="Q80" i="5" s="1"/>
  <c r="Q81" i="5" s="1"/>
  <c r="Q87" i="5" s="1"/>
  <c r="P89" i="5"/>
  <c r="P90" i="5" s="1"/>
  <c r="P93" i="5"/>
  <c r="P119" i="5" s="1"/>
  <c r="P17" i="6" s="1"/>
  <c r="O36" i="6" l="1"/>
  <c r="O55" i="6"/>
  <c r="O23" i="6"/>
  <c r="O106" i="5"/>
  <c r="P92" i="5"/>
  <c r="P95" i="5" s="1"/>
  <c r="P111" i="5"/>
  <c r="P11" i="6" s="1"/>
  <c r="O114" i="5"/>
  <c r="O118" i="5" s="1"/>
  <c r="O123" i="5" s="1"/>
  <c r="Q84" i="5"/>
  <c r="Q82" i="5"/>
  <c r="R76" i="5" s="1"/>
  <c r="P96" i="5"/>
  <c r="Q88" i="5"/>
  <c r="O39" i="6" l="1"/>
  <c r="O56" i="6" s="1"/>
  <c r="P100" i="5"/>
  <c r="P103" i="5" s="1"/>
  <c r="P120" i="5"/>
  <c r="P18" i="6" s="1"/>
  <c r="P20" i="6" s="1"/>
  <c r="P46" i="6" s="1"/>
  <c r="P99" i="5"/>
  <c r="P102" i="5" s="1"/>
  <c r="P112" i="5"/>
  <c r="P12" i="6" s="1"/>
  <c r="P13" i="6" s="1"/>
  <c r="R77" i="5"/>
  <c r="Q89" i="5"/>
  <c r="Q90" i="5" s="1"/>
  <c r="Q93" i="5"/>
  <c r="Q119" i="5" s="1"/>
  <c r="Q17" i="6" s="1"/>
  <c r="O40" i="6" l="1"/>
  <c r="O45" i="6" s="1"/>
  <c r="O47" i="6" s="1"/>
  <c r="P36" i="6"/>
  <c r="P55" i="6"/>
  <c r="P23" i="6"/>
  <c r="P106" i="5"/>
  <c r="P114" i="5"/>
  <c r="P118" i="5" s="1"/>
  <c r="P123" i="5" s="1"/>
  <c r="Q92" i="5"/>
  <c r="Q95" i="5" s="1"/>
  <c r="Q111" i="5"/>
  <c r="Q11" i="6" s="1"/>
  <c r="R79" i="5"/>
  <c r="R80" i="5" s="1"/>
  <c r="Q96" i="5"/>
  <c r="P39" i="6" l="1"/>
  <c r="P56" i="6" s="1"/>
  <c r="Q100" i="5"/>
  <c r="Q103" i="5" s="1"/>
  <c r="Q120" i="5"/>
  <c r="Q18" i="6" s="1"/>
  <c r="Q20" i="6" s="1"/>
  <c r="Q46" i="6" s="1"/>
  <c r="Q99" i="5"/>
  <c r="Q102" i="5" s="1"/>
  <c r="Q112" i="5"/>
  <c r="R81" i="5"/>
  <c r="R82" i="5" s="1"/>
  <c r="S76" i="5" s="1"/>
  <c r="S77" i="5" s="1"/>
  <c r="Q114" i="5" l="1"/>
  <c r="Q118" i="5" s="1"/>
  <c r="Q123" i="5" s="1"/>
  <c r="Q12" i="6"/>
  <c r="Q13" i="6" s="1"/>
  <c r="Q106" i="5"/>
  <c r="S79" i="5"/>
  <c r="S80" i="5" s="1"/>
  <c r="S81" i="5" s="1"/>
  <c r="R84" i="5"/>
  <c r="R87" i="5"/>
  <c r="R88" i="5" s="1"/>
  <c r="R89" i="5" s="1"/>
  <c r="R90" i="5" s="1"/>
  <c r="Q36" i="6" l="1"/>
  <c r="Q55" i="6"/>
  <c r="Q23" i="6"/>
  <c r="Q39" i="6" s="1"/>
  <c r="R92" i="5"/>
  <c r="R95" i="5" s="1"/>
  <c r="R111" i="5"/>
  <c r="R11" i="6" s="1"/>
  <c r="R93" i="5"/>
  <c r="S82" i="5"/>
  <c r="T76" i="5" s="1"/>
  <c r="S84" i="5"/>
  <c r="S87" i="5"/>
  <c r="Q40" i="6" l="1"/>
  <c r="Q45" i="6" s="1"/>
  <c r="Q47" i="6" s="1"/>
  <c r="Q56" i="6"/>
  <c r="R96" i="5"/>
  <c r="R119" i="5"/>
  <c r="R17" i="6" s="1"/>
  <c r="R99" i="5"/>
  <c r="R102" i="5" s="1"/>
  <c r="R112" i="5"/>
  <c r="T77" i="5"/>
  <c r="T79" i="5" s="1"/>
  <c r="S88" i="5"/>
  <c r="R114" i="5" l="1"/>
  <c r="R118" i="5" s="1"/>
  <c r="R12" i="6"/>
  <c r="R13" i="6" s="1"/>
  <c r="R100" i="5"/>
  <c r="R103" i="5" s="1"/>
  <c r="R106" i="5" s="1"/>
  <c r="R120" i="5"/>
  <c r="T80" i="5"/>
  <c r="T81" i="5" s="1"/>
  <c r="S89" i="5"/>
  <c r="S90" i="5" s="1"/>
  <c r="S93" i="5"/>
  <c r="S119" i="5" s="1"/>
  <c r="S17" i="6" s="1"/>
  <c r="R123" i="5" l="1"/>
  <c r="R18" i="6"/>
  <c r="R20" i="6" s="1"/>
  <c r="R46" i="6" s="1"/>
  <c r="R36" i="6"/>
  <c r="R55" i="6"/>
  <c r="R23" i="6"/>
  <c r="R39" i="6" s="1"/>
  <c r="R56" i="6" s="1"/>
  <c r="S92" i="5"/>
  <c r="S95" i="5" s="1"/>
  <c r="S111" i="5"/>
  <c r="S11" i="6" s="1"/>
  <c r="S96" i="5"/>
  <c r="T82" i="5"/>
  <c r="U76" i="5" s="1"/>
  <c r="T84" i="5"/>
  <c r="T87" i="5"/>
  <c r="R40" i="6" l="1"/>
  <c r="R45" i="6" s="1"/>
  <c r="R47" i="6" s="1"/>
  <c r="S100" i="5"/>
  <c r="S103" i="5" s="1"/>
  <c r="S120" i="5"/>
  <c r="S18" i="6" s="1"/>
  <c r="S20" i="6" s="1"/>
  <c r="S46" i="6" s="1"/>
  <c r="S99" i="5"/>
  <c r="S102" i="5" s="1"/>
  <c r="S112" i="5"/>
  <c r="U77" i="5"/>
  <c r="U79" i="5" s="1"/>
  <c r="T88" i="5"/>
  <c r="S114" i="5" l="1"/>
  <c r="S118" i="5" s="1"/>
  <c r="S123" i="5" s="1"/>
  <c r="S12" i="6"/>
  <c r="S13" i="6" s="1"/>
  <c r="S106" i="5"/>
  <c r="U80" i="5"/>
  <c r="U81" i="5" s="1"/>
  <c r="U87" i="5" s="1"/>
  <c r="T89" i="5"/>
  <c r="T90" i="5" s="1"/>
  <c r="T93" i="5"/>
  <c r="T119" i="5" s="1"/>
  <c r="T17" i="6" s="1"/>
  <c r="S36" i="6" l="1"/>
  <c r="S55" i="6"/>
  <c r="S23" i="6"/>
  <c r="S39" i="6" s="1"/>
  <c r="S56" i="6" s="1"/>
  <c r="T92" i="5"/>
  <c r="T95" i="5" s="1"/>
  <c r="T111" i="5"/>
  <c r="T11" i="6" s="1"/>
  <c r="U84" i="5"/>
  <c r="U82" i="5"/>
  <c r="V76" i="5" s="1"/>
  <c r="T96" i="5"/>
  <c r="U88" i="5"/>
  <c r="T100" i="5" l="1"/>
  <c r="T103" i="5" s="1"/>
  <c r="T120" i="5"/>
  <c r="T18" i="6" s="1"/>
  <c r="T20" i="6" s="1"/>
  <c r="T46" i="6" s="1"/>
  <c r="T99" i="5"/>
  <c r="T102" i="5" s="1"/>
  <c r="T112" i="5"/>
  <c r="V77" i="5"/>
  <c r="V79" i="5" s="1"/>
  <c r="U89" i="5"/>
  <c r="U90" i="5" s="1"/>
  <c r="U93" i="5"/>
  <c r="U119" i="5" s="1"/>
  <c r="U17" i="6" s="1"/>
  <c r="T114" i="5" l="1"/>
  <c r="T118" i="5" s="1"/>
  <c r="T123" i="5" s="1"/>
  <c r="T12" i="6"/>
  <c r="T13" i="6" s="1"/>
  <c r="T106" i="5"/>
  <c r="U92" i="5"/>
  <c r="U95" i="5" s="1"/>
  <c r="U111" i="5"/>
  <c r="U11" i="6" s="1"/>
  <c r="V80" i="5"/>
  <c r="V81" i="5" s="1"/>
  <c r="V82" i="5" s="1"/>
  <c r="W76" i="5" s="1"/>
  <c r="U96" i="5"/>
  <c r="T36" i="6" l="1"/>
  <c r="T55" i="6"/>
  <c r="T23" i="6"/>
  <c r="T39" i="6" s="1"/>
  <c r="T56" i="6" s="1"/>
  <c r="U100" i="5"/>
  <c r="U103" i="5" s="1"/>
  <c r="U120" i="5"/>
  <c r="U18" i="6" s="1"/>
  <c r="U20" i="6" s="1"/>
  <c r="U46" i="6" s="1"/>
  <c r="U99" i="5"/>
  <c r="U102" i="5" s="1"/>
  <c r="U112" i="5"/>
  <c r="V87" i="5"/>
  <c r="V88" i="5" s="1"/>
  <c r="V84" i="5"/>
  <c r="W77" i="5"/>
  <c r="W79" i="5" s="1"/>
  <c r="U114" i="5" l="1"/>
  <c r="U118" i="5" s="1"/>
  <c r="U123" i="5" s="1"/>
  <c r="U12" i="6"/>
  <c r="U13" i="6" s="1"/>
  <c r="T40" i="6"/>
  <c r="T45" i="6" s="1"/>
  <c r="T47" i="6" s="1"/>
  <c r="U106" i="5"/>
  <c r="W80" i="5"/>
  <c r="W81" i="5" s="1"/>
  <c r="W84" i="5" s="1"/>
  <c r="V89" i="5"/>
  <c r="V90" i="5" s="1"/>
  <c r="V93" i="5"/>
  <c r="V119" i="5" s="1"/>
  <c r="V17" i="6" s="1"/>
  <c r="U36" i="6" l="1"/>
  <c r="U55" i="6"/>
  <c r="U23" i="6"/>
  <c r="U39" i="6" s="1"/>
  <c r="U56" i="6" s="1"/>
  <c r="V92" i="5"/>
  <c r="V95" i="5" s="1"/>
  <c r="V111" i="5"/>
  <c r="V11" i="6" s="1"/>
  <c r="W82" i="5"/>
  <c r="X76" i="5" s="1"/>
  <c r="W87" i="5"/>
  <c r="W88" i="5" s="1"/>
  <c r="V96" i="5"/>
  <c r="U40" i="6" l="1"/>
  <c r="U45" i="6" s="1"/>
  <c r="U47" i="6" s="1"/>
  <c r="V100" i="5"/>
  <c r="V103" i="5" s="1"/>
  <c r="V120" i="5"/>
  <c r="V18" i="6" s="1"/>
  <c r="V20" i="6" s="1"/>
  <c r="V46" i="6" s="1"/>
  <c r="V99" i="5"/>
  <c r="V102" i="5" s="1"/>
  <c r="V112" i="5"/>
  <c r="X77" i="5"/>
  <c r="W89" i="5"/>
  <c r="W90" i="5" s="1"/>
  <c r="W93" i="5"/>
  <c r="W119" i="5" s="1"/>
  <c r="W17" i="6" s="1"/>
  <c r="V114" i="5" l="1"/>
  <c r="V118" i="5" s="1"/>
  <c r="V123" i="5" s="1"/>
  <c r="V12" i="6"/>
  <c r="V13" i="6" s="1"/>
  <c r="V106" i="5"/>
  <c r="W92" i="5"/>
  <c r="W95" i="5" s="1"/>
  <c r="W111" i="5"/>
  <c r="W11" i="6" s="1"/>
  <c r="X79" i="5"/>
  <c r="X80" i="5" s="1"/>
  <c r="W96" i="5"/>
  <c r="V36" i="6" l="1"/>
  <c r="V55" i="6"/>
  <c r="V23" i="6"/>
  <c r="V39" i="6" s="1"/>
  <c r="V56" i="6" s="1"/>
  <c r="W100" i="5"/>
  <c r="W103" i="5" s="1"/>
  <c r="W120" i="5"/>
  <c r="W18" i="6" s="1"/>
  <c r="W20" i="6" s="1"/>
  <c r="W46" i="6" s="1"/>
  <c r="W99" i="5"/>
  <c r="W102" i="5" s="1"/>
  <c r="W112" i="5"/>
  <c r="X81" i="5"/>
  <c r="X82" i="5" s="1"/>
  <c r="Y76" i="5" s="1"/>
  <c r="W114" i="5" l="1"/>
  <c r="W118" i="5" s="1"/>
  <c r="W123" i="5" s="1"/>
  <c r="W12" i="6"/>
  <c r="W13" i="6" s="1"/>
  <c r="W106" i="5"/>
  <c r="X87" i="5"/>
  <c r="X88" i="5" s="1"/>
  <c r="X89" i="5" s="1"/>
  <c r="X90" i="5" s="1"/>
  <c r="X84" i="5"/>
  <c r="Y77" i="5"/>
  <c r="Y79" i="5" s="1"/>
  <c r="W36" i="6" l="1"/>
  <c r="W55" i="6"/>
  <c r="W23" i="6"/>
  <c r="W39" i="6" s="1"/>
  <c r="W56" i="6" s="1"/>
  <c r="X93" i="5"/>
  <c r="X119" i="5" s="1"/>
  <c r="X17" i="6" s="1"/>
  <c r="X92" i="5"/>
  <c r="X95" i="5" s="1"/>
  <c r="X111" i="5"/>
  <c r="X11" i="6" s="1"/>
  <c r="Y80" i="5"/>
  <c r="Y81" i="5" s="1"/>
  <c r="Y84" i="5" s="1"/>
  <c r="X96" i="5" l="1"/>
  <c r="X120" i="5" s="1"/>
  <c r="X18" i="6" s="1"/>
  <c r="X20" i="6" s="1"/>
  <c r="X46" i="6" s="1"/>
  <c r="W40" i="6"/>
  <c r="W45" i="6" s="1"/>
  <c r="W47" i="6" s="1"/>
  <c r="X99" i="5"/>
  <c r="X102" i="5" s="1"/>
  <c r="X112" i="5"/>
  <c r="Y87" i="5"/>
  <c r="Y88" i="5" s="1"/>
  <c r="Y82" i="5"/>
  <c r="Z76" i="5" s="1"/>
  <c r="Z77" i="5" s="1"/>
  <c r="Z79" i="5" s="1"/>
  <c r="X100" i="5" l="1"/>
  <c r="X103" i="5" s="1"/>
  <c r="X106" i="5" s="1"/>
  <c r="X114" i="5"/>
  <c r="X118" i="5" s="1"/>
  <c r="X123" i="5" s="1"/>
  <c r="X12" i="6"/>
  <c r="X13" i="6" s="1"/>
  <c r="Y89" i="5"/>
  <c r="Y90" i="5" s="1"/>
  <c r="Y93" i="5"/>
  <c r="Y119" i="5" s="1"/>
  <c r="Y17" i="6" s="1"/>
  <c r="Z80" i="5"/>
  <c r="Z81" i="5" s="1"/>
  <c r="X36" i="6" l="1"/>
  <c r="X55" i="6"/>
  <c r="X23" i="6"/>
  <c r="X39" i="6" s="1"/>
  <c r="X56" i="6" s="1"/>
  <c r="Y92" i="5"/>
  <c r="Y95" i="5" s="1"/>
  <c r="Y111" i="5"/>
  <c r="Y11" i="6" s="1"/>
  <c r="Y96" i="5"/>
  <c r="Z82" i="5"/>
  <c r="AA76" i="5" s="1"/>
  <c r="Z84" i="5"/>
  <c r="Z87" i="5"/>
  <c r="X40" i="6" l="1"/>
  <c r="X45" i="6" s="1"/>
  <c r="X47" i="6" s="1"/>
  <c r="Y100" i="5"/>
  <c r="Y103" i="5" s="1"/>
  <c r="Y120" i="5"/>
  <c r="Y18" i="6" s="1"/>
  <c r="Y20" i="6" s="1"/>
  <c r="Y46" i="6" s="1"/>
  <c r="Y99" i="5"/>
  <c r="Y102" i="5" s="1"/>
  <c r="Y112" i="5"/>
  <c r="AA77" i="5"/>
  <c r="AA79" i="5" s="1"/>
  <c r="Z88" i="5"/>
  <c r="Y114" i="5" l="1"/>
  <c r="Y118" i="5" s="1"/>
  <c r="Y123" i="5" s="1"/>
  <c r="Y12" i="6"/>
  <c r="Y13" i="6" s="1"/>
  <c r="Y106" i="5"/>
  <c r="AA80" i="5"/>
  <c r="AA81" i="5" s="1"/>
  <c r="Z89" i="5"/>
  <c r="Z90" i="5" s="1"/>
  <c r="Z93" i="5"/>
  <c r="Z119" i="5" s="1"/>
  <c r="Z17" i="6" s="1"/>
  <c r="Y36" i="6" l="1"/>
  <c r="Y55" i="6"/>
  <c r="Y23" i="6"/>
  <c r="Y39" i="6" s="1"/>
  <c r="Y56" i="6" s="1"/>
  <c r="Z92" i="5"/>
  <c r="Z95" i="5" s="1"/>
  <c r="Z111" i="5"/>
  <c r="Z11" i="6" s="1"/>
  <c r="Z96" i="5"/>
  <c r="AA82" i="5"/>
  <c r="AB76" i="5" s="1"/>
  <c r="AA84" i="5"/>
  <c r="AA87" i="5"/>
  <c r="Z100" i="5" l="1"/>
  <c r="Z103" i="5" s="1"/>
  <c r="Z120" i="5"/>
  <c r="Z18" i="6" s="1"/>
  <c r="Z20" i="6" s="1"/>
  <c r="Z46" i="6" s="1"/>
  <c r="Z99" i="5"/>
  <c r="Z102" i="5" s="1"/>
  <c r="Z112" i="5"/>
  <c r="AB77" i="5"/>
  <c r="AB79" i="5" s="1"/>
  <c r="AA88" i="5"/>
  <c r="Z114" i="5" l="1"/>
  <c r="Z118" i="5" s="1"/>
  <c r="Z123" i="5" s="1"/>
  <c r="Z12" i="6"/>
  <c r="Z13" i="6" s="1"/>
  <c r="Z106" i="5"/>
  <c r="AB80" i="5"/>
  <c r="AB81" i="5" s="1"/>
  <c r="AA89" i="5"/>
  <c r="AA90" i="5" s="1"/>
  <c r="AA93" i="5"/>
  <c r="AA119" i="5" s="1"/>
  <c r="AA17" i="6" s="1"/>
  <c r="Z36" i="6" l="1"/>
  <c r="Z55" i="6"/>
  <c r="Z23" i="6"/>
  <c r="Z39" i="6" s="1"/>
  <c r="AA92" i="5"/>
  <c r="AA95" i="5" s="1"/>
  <c r="AA111" i="5"/>
  <c r="AA11" i="6" s="1"/>
  <c r="AA96" i="5"/>
  <c r="AB82" i="5"/>
  <c r="AC76" i="5" s="1"/>
  <c r="AB84" i="5"/>
  <c r="AB87" i="5"/>
  <c r="Z40" i="6" l="1"/>
  <c r="Z45" i="6" s="1"/>
  <c r="Z47" i="6" s="1"/>
  <c r="Z56" i="6"/>
  <c r="AA100" i="5"/>
  <c r="AA103" i="5" s="1"/>
  <c r="AA120" i="5"/>
  <c r="AA18" i="6" s="1"/>
  <c r="AA20" i="6" s="1"/>
  <c r="AA46" i="6" s="1"/>
  <c r="AA99" i="5"/>
  <c r="AA102" i="5" s="1"/>
  <c r="AA112" i="5"/>
  <c r="AC77" i="5"/>
  <c r="AC79" i="5" s="1"/>
  <c r="AB88" i="5"/>
  <c r="AA114" i="5" l="1"/>
  <c r="AA118" i="5" s="1"/>
  <c r="AA123" i="5" s="1"/>
  <c r="AA12" i="6"/>
  <c r="AA13" i="6" s="1"/>
  <c r="AA106" i="5"/>
  <c r="AC80" i="5"/>
  <c r="AC81" i="5" s="1"/>
  <c r="AB89" i="5"/>
  <c r="AB90" i="5" s="1"/>
  <c r="AB93" i="5"/>
  <c r="AB119" i="5" s="1"/>
  <c r="AB17" i="6" s="1"/>
  <c r="AA36" i="6" l="1"/>
  <c r="AA55" i="6"/>
  <c r="AA23" i="6"/>
  <c r="AA39" i="6" s="1"/>
  <c r="AA56" i="6" s="1"/>
  <c r="AB92" i="5"/>
  <c r="AB95" i="5" s="1"/>
  <c r="AB111" i="5"/>
  <c r="AB11" i="6" s="1"/>
  <c r="AB96" i="5"/>
  <c r="AC82" i="5"/>
  <c r="AD76" i="5" s="1"/>
  <c r="AC84" i="5"/>
  <c r="AC87" i="5"/>
  <c r="AA40" i="6" l="1"/>
  <c r="AA45" i="6" s="1"/>
  <c r="AA47" i="6" s="1"/>
  <c r="AB100" i="5"/>
  <c r="AB103" i="5" s="1"/>
  <c r="AB120" i="5"/>
  <c r="AB18" i="6" s="1"/>
  <c r="AB20" i="6" s="1"/>
  <c r="AB46" i="6" s="1"/>
  <c r="AB99" i="5"/>
  <c r="AB102" i="5" s="1"/>
  <c r="AB112" i="5"/>
  <c r="AD77" i="5"/>
  <c r="AD79" i="5" s="1"/>
  <c r="AC88" i="5"/>
  <c r="AB114" i="5" l="1"/>
  <c r="AB118" i="5" s="1"/>
  <c r="AB123" i="5" s="1"/>
  <c r="AB12" i="6"/>
  <c r="AB13" i="6" s="1"/>
  <c r="AB106" i="5"/>
  <c r="AD80" i="5"/>
  <c r="AD81" i="5" s="1"/>
  <c r="AC89" i="5"/>
  <c r="AC90" i="5" s="1"/>
  <c r="AC93" i="5"/>
  <c r="AC119" i="5" s="1"/>
  <c r="AC17" i="6" s="1"/>
  <c r="AB36" i="6" l="1"/>
  <c r="AB55" i="6"/>
  <c r="AB23" i="6"/>
  <c r="AC92" i="5"/>
  <c r="AC95" i="5" s="1"/>
  <c r="AC111" i="5"/>
  <c r="AC11" i="6" s="1"/>
  <c r="AD84" i="5"/>
  <c r="AC96" i="5"/>
  <c r="AD87" i="5"/>
  <c r="AD82" i="5"/>
  <c r="AE76" i="5" s="1"/>
  <c r="AB39" i="6" l="1"/>
  <c r="AB56" i="6" s="1"/>
  <c r="I25" i="6"/>
  <c r="G28" i="6" s="1"/>
  <c r="AC100" i="5"/>
  <c r="AC103" i="5" s="1"/>
  <c r="AC120" i="5"/>
  <c r="AC18" i="6" s="1"/>
  <c r="AC20" i="6" s="1"/>
  <c r="AC46" i="6" s="1"/>
  <c r="AC99" i="5"/>
  <c r="AC102" i="5" s="1"/>
  <c r="AC112" i="5"/>
  <c r="AD88" i="5"/>
  <c r="AE77" i="5"/>
  <c r="AE79" i="5" s="1"/>
  <c r="AC114" i="5" l="1"/>
  <c r="AC118" i="5" s="1"/>
  <c r="AC12" i="6"/>
  <c r="AC13" i="6" s="1"/>
  <c r="J28" i="6"/>
  <c r="J10" i="2"/>
  <c r="J9" i="2" s="1"/>
  <c r="AC123" i="5"/>
  <c r="AC106" i="5"/>
  <c r="AD89" i="5"/>
  <c r="AD90" i="5" s="1"/>
  <c r="AD93" i="5"/>
  <c r="AD119" i="5" s="1"/>
  <c r="AD17" i="6" s="1"/>
  <c r="AE80" i="5"/>
  <c r="AE81" i="5" s="1"/>
  <c r="J38" i="6" l="1"/>
  <c r="J40" i="6" s="1"/>
  <c r="J45" i="6" s="1"/>
  <c r="J47" i="6" s="1"/>
  <c r="J49" i="6" s="1"/>
  <c r="J30" i="6"/>
  <c r="K27" i="6" s="1"/>
  <c r="K31" i="6" s="1"/>
  <c r="M28" i="6"/>
  <c r="AC36" i="6"/>
  <c r="AC40" i="6" s="1"/>
  <c r="AC45" i="6" s="1"/>
  <c r="AC47" i="6" s="1"/>
  <c r="AC55" i="6"/>
  <c r="AD92" i="5"/>
  <c r="AD95" i="5" s="1"/>
  <c r="AD111" i="5"/>
  <c r="AD11" i="6" s="1"/>
  <c r="AE84" i="5"/>
  <c r="AD96" i="5"/>
  <c r="AE87" i="5"/>
  <c r="AE82" i="5"/>
  <c r="AF76" i="5" s="1"/>
  <c r="M38" i="6" l="1"/>
  <c r="M40" i="6" s="1"/>
  <c r="M45" i="6" s="1"/>
  <c r="M47" i="6" s="1"/>
  <c r="P28" i="6"/>
  <c r="K29" i="6"/>
  <c r="K30" i="6" s="1"/>
  <c r="L27" i="6" s="1"/>
  <c r="L31" i="6" s="1"/>
  <c r="K48" i="6"/>
  <c r="K49" i="6" s="1"/>
  <c r="AD100" i="5"/>
  <c r="AD103" i="5" s="1"/>
  <c r="AD120" i="5"/>
  <c r="AD18" i="6" s="1"/>
  <c r="AD20" i="6" s="1"/>
  <c r="AD46" i="6" s="1"/>
  <c r="AD99" i="5"/>
  <c r="AD102" i="5" s="1"/>
  <c r="AD112" i="5"/>
  <c r="AE88" i="5"/>
  <c r="AF77" i="5"/>
  <c r="AF79" i="5" s="1"/>
  <c r="AD114" i="5" l="1"/>
  <c r="AD118" i="5" s="1"/>
  <c r="AD123" i="5" s="1"/>
  <c r="AD12" i="6"/>
  <c r="AD13" i="6" s="1"/>
  <c r="S28" i="6"/>
  <c r="P38" i="6"/>
  <c r="P40" i="6" s="1"/>
  <c r="P45" i="6" s="1"/>
  <c r="P47" i="6" s="1"/>
  <c r="L29" i="6"/>
  <c r="L30" i="6" s="1"/>
  <c r="M27" i="6" s="1"/>
  <c r="L48" i="6"/>
  <c r="L49" i="6" s="1"/>
  <c r="AD106" i="5"/>
  <c r="AE89" i="5"/>
  <c r="AE90" i="5" s="1"/>
  <c r="AE93" i="5"/>
  <c r="AE119" i="5" s="1"/>
  <c r="AE17" i="6" s="1"/>
  <c r="AF80" i="5"/>
  <c r="AF81" i="5" s="1"/>
  <c r="S38" i="6" l="1"/>
  <c r="S40" i="6" s="1"/>
  <c r="S45" i="6" s="1"/>
  <c r="S47" i="6" s="1"/>
  <c r="V28" i="6"/>
  <c r="M31" i="6"/>
  <c r="AD36" i="6"/>
  <c r="AD40" i="6" s="1"/>
  <c r="AD45" i="6" s="1"/>
  <c r="AD47" i="6" s="1"/>
  <c r="AD55" i="6"/>
  <c r="AE92" i="5"/>
  <c r="AE95" i="5" s="1"/>
  <c r="AE111" i="5"/>
  <c r="AE11" i="6" s="1"/>
  <c r="AF84" i="5"/>
  <c r="AE96" i="5"/>
  <c r="AF87" i="5"/>
  <c r="AF82" i="5"/>
  <c r="AG76" i="5" s="1"/>
  <c r="M29" i="6" l="1"/>
  <c r="M30" i="6" s="1"/>
  <c r="N27" i="6" s="1"/>
  <c r="N31" i="6" s="1"/>
  <c r="M48" i="6"/>
  <c r="M49" i="6" s="1"/>
  <c r="V38" i="6"/>
  <c r="V40" i="6" s="1"/>
  <c r="V45" i="6" s="1"/>
  <c r="V47" i="6" s="1"/>
  <c r="Y28" i="6"/>
  <c r="AE100" i="5"/>
  <c r="AE103" i="5" s="1"/>
  <c r="AE120" i="5"/>
  <c r="AE18" i="6" s="1"/>
  <c r="AE20" i="6" s="1"/>
  <c r="AE46" i="6" s="1"/>
  <c r="AE99" i="5"/>
  <c r="AE102" i="5" s="1"/>
  <c r="AE112" i="5"/>
  <c r="AF88" i="5"/>
  <c r="AG77" i="5"/>
  <c r="AG79" i="5" s="1"/>
  <c r="AB28" i="6" l="1"/>
  <c r="Y38" i="6"/>
  <c r="Y40" i="6" s="1"/>
  <c r="Y45" i="6" s="1"/>
  <c r="Y47" i="6" s="1"/>
  <c r="N29" i="6"/>
  <c r="N30" i="6" s="1"/>
  <c r="O27" i="6" s="1"/>
  <c r="O31" i="6" s="1"/>
  <c r="N48" i="6"/>
  <c r="N49" i="6" s="1"/>
  <c r="AE114" i="5"/>
  <c r="AE118" i="5" s="1"/>
  <c r="AE123" i="5" s="1"/>
  <c r="AE12" i="6"/>
  <c r="AE13" i="6" s="1"/>
  <c r="AE106" i="5"/>
  <c r="AF89" i="5"/>
  <c r="AF90" i="5" s="1"/>
  <c r="AF93" i="5"/>
  <c r="AF119" i="5" s="1"/>
  <c r="AF17" i="6" s="1"/>
  <c r="AG80" i="5"/>
  <c r="AG81" i="5" s="1"/>
  <c r="AE28" i="6" l="1"/>
  <c r="AB38" i="6"/>
  <c r="AB40" i="6" s="1"/>
  <c r="AB45" i="6" s="1"/>
  <c r="AB47" i="6" s="1"/>
  <c r="O29" i="6"/>
  <c r="O30" i="6" s="1"/>
  <c r="P27" i="6" s="1"/>
  <c r="P31" i="6" s="1"/>
  <c r="O48" i="6"/>
  <c r="O49" i="6" s="1"/>
  <c r="AE36" i="6"/>
  <c r="AE55" i="6"/>
  <c r="AF92" i="5"/>
  <c r="AF95" i="5" s="1"/>
  <c r="AF111" i="5"/>
  <c r="AF11" i="6" s="1"/>
  <c r="AF96" i="5"/>
  <c r="AG82" i="5"/>
  <c r="AH76" i="5" s="1"/>
  <c r="AG84" i="5"/>
  <c r="AG87" i="5"/>
  <c r="AE38" i="6" l="1"/>
  <c r="AE40" i="6" s="1"/>
  <c r="AE45" i="6" s="1"/>
  <c r="AE47" i="6" s="1"/>
  <c r="AH28" i="6"/>
  <c r="P29" i="6"/>
  <c r="P30" i="6" s="1"/>
  <c r="Q27" i="6" s="1"/>
  <c r="Q31" i="6" s="1"/>
  <c r="P48" i="6"/>
  <c r="P49" i="6" s="1"/>
  <c r="AF100" i="5"/>
  <c r="AF103" i="5" s="1"/>
  <c r="AF120" i="5"/>
  <c r="AF18" i="6" s="1"/>
  <c r="AF20" i="6" s="1"/>
  <c r="AF46" i="6" s="1"/>
  <c r="AF99" i="5"/>
  <c r="AF102" i="5" s="1"/>
  <c r="AF112" i="5"/>
  <c r="AH77" i="5"/>
  <c r="AH79" i="5" s="1"/>
  <c r="AG88" i="5"/>
  <c r="AF114" i="5" l="1"/>
  <c r="AF118" i="5" s="1"/>
  <c r="AF12" i="6"/>
  <c r="AF13" i="6" s="1"/>
  <c r="Q29" i="6"/>
  <c r="Q30" i="6" s="1"/>
  <c r="R27" i="6" s="1"/>
  <c r="R31" i="6" s="1"/>
  <c r="Q48" i="6"/>
  <c r="Q49" i="6" s="1"/>
  <c r="AK28" i="6"/>
  <c r="AH38" i="6"/>
  <c r="AF106" i="5"/>
  <c r="AF123" i="5"/>
  <c r="AH80" i="5"/>
  <c r="AH81" i="5" s="1"/>
  <c r="AG89" i="5"/>
  <c r="AG90" i="5" s="1"/>
  <c r="AG93" i="5"/>
  <c r="AG119" i="5" s="1"/>
  <c r="AG17" i="6" s="1"/>
  <c r="AN28" i="6" l="1"/>
  <c r="AK38" i="6"/>
  <c r="AF36" i="6"/>
  <c r="AF40" i="6" s="1"/>
  <c r="AF45" i="6" s="1"/>
  <c r="AF47" i="6" s="1"/>
  <c r="AF55" i="6"/>
  <c r="R29" i="6"/>
  <c r="R30" i="6" s="1"/>
  <c r="S27" i="6" s="1"/>
  <c r="S31" i="6" s="1"/>
  <c r="R48" i="6"/>
  <c r="R49" i="6" s="1"/>
  <c r="AG92" i="5"/>
  <c r="AG95" i="5" s="1"/>
  <c r="AG111" i="5"/>
  <c r="AG11" i="6" s="1"/>
  <c r="AH84" i="5"/>
  <c r="AG96" i="5"/>
  <c r="AH87" i="5"/>
  <c r="AH82" i="5"/>
  <c r="AI76" i="5" s="1"/>
  <c r="AQ28" i="6" l="1"/>
  <c r="AQ38" i="6" s="1"/>
  <c r="AN38" i="6"/>
  <c r="S29" i="6"/>
  <c r="S30" i="6" s="1"/>
  <c r="T27" i="6" s="1"/>
  <c r="T31" i="6" s="1"/>
  <c r="S48" i="6"/>
  <c r="S49" i="6" s="1"/>
  <c r="AG100" i="5"/>
  <c r="AG103" i="5" s="1"/>
  <c r="AG120" i="5"/>
  <c r="AG18" i="6" s="1"/>
  <c r="AG20" i="6" s="1"/>
  <c r="AG46" i="6" s="1"/>
  <c r="AG99" i="5"/>
  <c r="AG102" i="5" s="1"/>
  <c r="AG112" i="5"/>
  <c r="AH88" i="5"/>
  <c r="AI77" i="5"/>
  <c r="AI79" i="5" s="1"/>
  <c r="AG106" i="5" l="1"/>
  <c r="T29" i="6"/>
  <c r="T30" i="6" s="1"/>
  <c r="U27" i="6" s="1"/>
  <c r="U31" i="6" s="1"/>
  <c r="T48" i="6"/>
  <c r="T49" i="6" s="1"/>
  <c r="AG114" i="5"/>
  <c r="AG118" i="5" s="1"/>
  <c r="AG123" i="5" s="1"/>
  <c r="AG12" i="6"/>
  <c r="AG13" i="6" s="1"/>
  <c r="AH89" i="5"/>
  <c r="AH90" i="5" s="1"/>
  <c r="AH93" i="5"/>
  <c r="AH119" i="5" s="1"/>
  <c r="AH17" i="6" s="1"/>
  <c r="AI80" i="5"/>
  <c r="AI81" i="5" s="1"/>
  <c r="AG36" i="6" l="1"/>
  <c r="AG40" i="6" s="1"/>
  <c r="AG45" i="6" s="1"/>
  <c r="AG47" i="6" s="1"/>
  <c r="AG55" i="6"/>
  <c r="U29" i="6"/>
  <c r="U30" i="6" s="1"/>
  <c r="V27" i="6" s="1"/>
  <c r="V31" i="6" s="1"/>
  <c r="U48" i="6"/>
  <c r="U49" i="6" s="1"/>
  <c r="AH92" i="5"/>
  <c r="AH95" i="5" s="1"/>
  <c r="AH111" i="5"/>
  <c r="AH11" i="6" s="1"/>
  <c r="AH96" i="5"/>
  <c r="AI82" i="5"/>
  <c r="AJ76" i="5" s="1"/>
  <c r="AI84" i="5"/>
  <c r="AI87" i="5"/>
  <c r="V29" i="6" l="1"/>
  <c r="V30" i="6" s="1"/>
  <c r="W27" i="6" s="1"/>
  <c r="W31" i="6" s="1"/>
  <c r="V48" i="6"/>
  <c r="V49" i="6" s="1"/>
  <c r="AH100" i="5"/>
  <c r="AH103" i="5" s="1"/>
  <c r="AH120" i="5"/>
  <c r="AH18" i="6" s="1"/>
  <c r="AH20" i="6" s="1"/>
  <c r="AH46" i="6" s="1"/>
  <c r="AH99" i="5"/>
  <c r="AH102" i="5" s="1"/>
  <c r="AH112" i="5"/>
  <c r="AJ77" i="5"/>
  <c r="AJ79" i="5" s="1"/>
  <c r="AI88" i="5"/>
  <c r="AH114" i="5" l="1"/>
  <c r="AH118" i="5" s="1"/>
  <c r="AH123" i="5" s="1"/>
  <c r="AH12" i="6"/>
  <c r="AH13" i="6" s="1"/>
  <c r="W29" i="6"/>
  <c r="W30" i="6" s="1"/>
  <c r="X27" i="6" s="1"/>
  <c r="X31" i="6" s="1"/>
  <c r="W48" i="6"/>
  <c r="W49" i="6" s="1"/>
  <c r="AH106" i="5"/>
  <c r="AJ80" i="5"/>
  <c r="AJ81" i="5" s="1"/>
  <c r="AI89" i="5"/>
  <c r="AI90" i="5" s="1"/>
  <c r="AI93" i="5"/>
  <c r="AI119" i="5" s="1"/>
  <c r="AI17" i="6" s="1"/>
  <c r="X29" i="6" l="1"/>
  <c r="X30" i="6" s="1"/>
  <c r="Y27" i="6" s="1"/>
  <c r="Y31" i="6" s="1"/>
  <c r="X48" i="6"/>
  <c r="X49" i="6" s="1"/>
  <c r="AH36" i="6"/>
  <c r="AH40" i="6" s="1"/>
  <c r="AH45" i="6" s="1"/>
  <c r="AH47" i="6" s="1"/>
  <c r="AH55" i="6"/>
  <c r="AI92" i="5"/>
  <c r="AI95" i="5" s="1"/>
  <c r="AI111" i="5"/>
  <c r="AI11" i="6" s="1"/>
  <c r="AI96" i="5"/>
  <c r="AJ82" i="5"/>
  <c r="AK76" i="5" s="1"/>
  <c r="AJ84" i="5"/>
  <c r="AJ87" i="5"/>
  <c r="Y29" i="6" l="1"/>
  <c r="Y30" i="6" s="1"/>
  <c r="Z27" i="6" s="1"/>
  <c r="Z31" i="6" s="1"/>
  <c r="Y48" i="6"/>
  <c r="Y49" i="6" s="1"/>
  <c r="AI100" i="5"/>
  <c r="AI103" i="5" s="1"/>
  <c r="AI120" i="5"/>
  <c r="AI18" i="6" s="1"/>
  <c r="AI20" i="6" s="1"/>
  <c r="AI46" i="6" s="1"/>
  <c r="AI99" i="5"/>
  <c r="AI102" i="5" s="1"/>
  <c r="AI112" i="5"/>
  <c r="AK77" i="5"/>
  <c r="AK79" i="5" s="1"/>
  <c r="AJ88" i="5"/>
  <c r="AI114" i="5" l="1"/>
  <c r="AI118" i="5" s="1"/>
  <c r="AI123" i="5" s="1"/>
  <c r="AI12" i="6"/>
  <c r="AI13" i="6" s="1"/>
  <c r="Z29" i="6"/>
  <c r="Z30" i="6" s="1"/>
  <c r="AA27" i="6" s="1"/>
  <c r="AA31" i="6" s="1"/>
  <c r="Z48" i="6"/>
  <c r="Z49" i="6" s="1"/>
  <c r="AI106" i="5"/>
  <c r="AK80" i="5"/>
  <c r="AK81" i="5" s="1"/>
  <c r="AJ89" i="5"/>
  <c r="AJ90" i="5" s="1"/>
  <c r="AJ93" i="5"/>
  <c r="AJ119" i="5" s="1"/>
  <c r="AJ17" i="6" s="1"/>
  <c r="AA29" i="6" l="1"/>
  <c r="AA30" i="6" s="1"/>
  <c r="AB27" i="6" s="1"/>
  <c r="AB31" i="6" s="1"/>
  <c r="AA48" i="6"/>
  <c r="AA49" i="6" s="1"/>
  <c r="AI36" i="6"/>
  <c r="AI40" i="6" s="1"/>
  <c r="AI45" i="6" s="1"/>
  <c r="AI47" i="6" s="1"/>
  <c r="AI55" i="6"/>
  <c r="AJ92" i="5"/>
  <c r="AJ95" i="5" s="1"/>
  <c r="AJ111" i="5"/>
  <c r="AJ11" i="6" s="1"/>
  <c r="AJ96" i="5"/>
  <c r="AK82" i="5"/>
  <c r="AL76" i="5" s="1"/>
  <c r="AK84" i="5"/>
  <c r="AK87" i="5"/>
  <c r="AB29" i="6" l="1"/>
  <c r="AB30" i="6" s="1"/>
  <c r="AB48" i="6"/>
  <c r="AB49" i="6" s="1"/>
  <c r="AJ100" i="5"/>
  <c r="AJ103" i="5" s="1"/>
  <c r="AJ120" i="5"/>
  <c r="AJ18" i="6" s="1"/>
  <c r="AJ20" i="6" s="1"/>
  <c r="AJ46" i="6" s="1"/>
  <c r="AJ99" i="5"/>
  <c r="AJ102" i="5" s="1"/>
  <c r="AJ112" i="5"/>
  <c r="AL77" i="5"/>
  <c r="AL79" i="5"/>
  <c r="AK88" i="5"/>
  <c r="AJ114" i="5" l="1"/>
  <c r="AJ118" i="5" s="1"/>
  <c r="AJ123" i="5" s="1"/>
  <c r="AJ12" i="6"/>
  <c r="AJ13" i="6" s="1"/>
  <c r="AC27" i="6"/>
  <c r="AC31" i="6" s="1"/>
  <c r="F33" i="6"/>
  <c r="AJ106" i="5"/>
  <c r="AL80" i="5"/>
  <c r="AL81" i="5" s="1"/>
  <c r="AL87" i="5" s="1"/>
  <c r="AK89" i="5"/>
  <c r="AK90" i="5" s="1"/>
  <c r="AK93" i="5"/>
  <c r="AK119" i="5" s="1"/>
  <c r="AK17" i="6" s="1"/>
  <c r="AC29" i="6" l="1"/>
  <c r="AC30" i="6" s="1"/>
  <c r="AD27" i="6" s="1"/>
  <c r="AD31" i="6" s="1"/>
  <c r="AC48" i="6"/>
  <c r="AC49" i="6" s="1"/>
  <c r="AJ36" i="6"/>
  <c r="AJ40" i="6" s="1"/>
  <c r="AJ45" i="6" s="1"/>
  <c r="AJ47" i="6" s="1"/>
  <c r="AJ55" i="6"/>
  <c r="AL82" i="5"/>
  <c r="AM76" i="5" s="1"/>
  <c r="AM77" i="5" s="1"/>
  <c r="AM79" i="5" s="1"/>
  <c r="AL84" i="5"/>
  <c r="AK92" i="5"/>
  <c r="AK95" i="5" s="1"/>
  <c r="AK111" i="5"/>
  <c r="AK11" i="6" s="1"/>
  <c r="AK96" i="5"/>
  <c r="AL88" i="5"/>
  <c r="AD29" i="6" l="1"/>
  <c r="AD30" i="6" s="1"/>
  <c r="AE27" i="6" s="1"/>
  <c r="AE31" i="6" s="1"/>
  <c r="AD48" i="6"/>
  <c r="AD49" i="6" s="1"/>
  <c r="AK100" i="5"/>
  <c r="AK103" i="5" s="1"/>
  <c r="AK120" i="5"/>
  <c r="AK18" i="6" s="1"/>
  <c r="AK20" i="6" s="1"/>
  <c r="AK46" i="6" s="1"/>
  <c r="AK99" i="5"/>
  <c r="AK102" i="5" s="1"/>
  <c r="AK112" i="5"/>
  <c r="AL89" i="5"/>
  <c r="AL90" i="5" s="1"/>
  <c r="AL93" i="5"/>
  <c r="AL119" i="5" s="1"/>
  <c r="AL17" i="6" s="1"/>
  <c r="AM80" i="5"/>
  <c r="AM81" i="5" s="1"/>
  <c r="AK114" i="5" l="1"/>
  <c r="AK118" i="5" s="1"/>
  <c r="AK123" i="5" s="1"/>
  <c r="AK12" i="6"/>
  <c r="AK13" i="6" s="1"/>
  <c r="AE29" i="6"/>
  <c r="AE30" i="6" s="1"/>
  <c r="AF27" i="6" s="1"/>
  <c r="AF31" i="6" s="1"/>
  <c r="AE48" i="6"/>
  <c r="AE49" i="6" s="1"/>
  <c r="AK106" i="5"/>
  <c r="AL92" i="5"/>
  <c r="AL95" i="5" s="1"/>
  <c r="AL111" i="5"/>
  <c r="AL11" i="6" s="1"/>
  <c r="AL96" i="5"/>
  <c r="AM82" i="5"/>
  <c r="AN76" i="5" s="1"/>
  <c r="AM84" i="5"/>
  <c r="AM87" i="5"/>
  <c r="AF29" i="6" l="1"/>
  <c r="AF30" i="6" s="1"/>
  <c r="AG27" i="6" s="1"/>
  <c r="AG31" i="6" s="1"/>
  <c r="AF48" i="6"/>
  <c r="AF49" i="6" s="1"/>
  <c r="AK36" i="6"/>
  <c r="AK40" i="6" s="1"/>
  <c r="AK45" i="6" s="1"/>
  <c r="AK47" i="6" s="1"/>
  <c r="AK55" i="6"/>
  <c r="AL100" i="5"/>
  <c r="AL103" i="5" s="1"/>
  <c r="AL120" i="5"/>
  <c r="AL18" i="6" s="1"/>
  <c r="AL20" i="6" s="1"/>
  <c r="AL46" i="6" s="1"/>
  <c r="AL99" i="5"/>
  <c r="AL102" i="5" s="1"/>
  <c r="AL112" i="5"/>
  <c r="AN77" i="5"/>
  <c r="AN79" i="5" s="1"/>
  <c r="AM88" i="5"/>
  <c r="AL114" i="5" l="1"/>
  <c r="AL118" i="5" s="1"/>
  <c r="AL123" i="5" s="1"/>
  <c r="AL12" i="6"/>
  <c r="AL13" i="6" s="1"/>
  <c r="AG29" i="6"/>
  <c r="AG30" i="6" s="1"/>
  <c r="AH27" i="6" s="1"/>
  <c r="AH31" i="6" s="1"/>
  <c r="AG48" i="6"/>
  <c r="AG49" i="6" s="1"/>
  <c r="AL106" i="5"/>
  <c r="AN80" i="5"/>
  <c r="AN81" i="5" s="1"/>
  <c r="AN84" i="5" s="1"/>
  <c r="AM89" i="5"/>
  <c r="AM90" i="5" s="1"/>
  <c r="AM93" i="5"/>
  <c r="AM119" i="5" s="1"/>
  <c r="AM17" i="6" s="1"/>
  <c r="AH29" i="6" l="1"/>
  <c r="AH30" i="6" s="1"/>
  <c r="AI27" i="6" s="1"/>
  <c r="AI31" i="6" s="1"/>
  <c r="AH48" i="6"/>
  <c r="AH49" i="6" s="1"/>
  <c r="AL36" i="6"/>
  <c r="AL40" i="6" s="1"/>
  <c r="AL45" i="6" s="1"/>
  <c r="AL47" i="6" s="1"/>
  <c r="AL55" i="6"/>
  <c r="AM92" i="5"/>
  <c r="AM95" i="5" s="1"/>
  <c r="AM111" i="5"/>
  <c r="AM11" i="6" s="1"/>
  <c r="AN87" i="5"/>
  <c r="AN88" i="5" s="1"/>
  <c r="AN82" i="5"/>
  <c r="AO76" i="5" s="1"/>
  <c r="AM96" i="5"/>
  <c r="AI29" i="6" l="1"/>
  <c r="AI30" i="6" s="1"/>
  <c r="AJ27" i="6" s="1"/>
  <c r="AJ31" i="6" s="1"/>
  <c r="AI48" i="6"/>
  <c r="AI49" i="6" s="1"/>
  <c r="AM100" i="5"/>
  <c r="AM103" i="5" s="1"/>
  <c r="AM120" i="5"/>
  <c r="AM18" i="6" s="1"/>
  <c r="AM20" i="6" s="1"/>
  <c r="AM46" i="6" s="1"/>
  <c r="AM99" i="5"/>
  <c r="AM102" i="5" s="1"/>
  <c r="AM112" i="5"/>
  <c r="AO77" i="5"/>
  <c r="AN89" i="5"/>
  <c r="AN90" i="5" s="1"/>
  <c r="AN93" i="5"/>
  <c r="AN119" i="5" s="1"/>
  <c r="AN17" i="6" s="1"/>
  <c r="AM114" i="5" l="1"/>
  <c r="AM118" i="5" s="1"/>
  <c r="AM123" i="5" s="1"/>
  <c r="AM12" i="6"/>
  <c r="AM13" i="6" s="1"/>
  <c r="AJ29" i="6"/>
  <c r="AJ30" i="6" s="1"/>
  <c r="AK27" i="6" s="1"/>
  <c r="AK31" i="6" s="1"/>
  <c r="AJ48" i="6"/>
  <c r="AJ49" i="6" s="1"/>
  <c r="AM106" i="5"/>
  <c r="AN92" i="5"/>
  <c r="AN95" i="5" s="1"/>
  <c r="AN111" i="5"/>
  <c r="AN11" i="6" s="1"/>
  <c r="AO79" i="5"/>
  <c r="AO80" i="5" s="1"/>
  <c r="AN96" i="5"/>
  <c r="AK29" i="6" l="1"/>
  <c r="AK30" i="6" s="1"/>
  <c r="AL27" i="6" s="1"/>
  <c r="AL31" i="6" s="1"/>
  <c r="AK48" i="6"/>
  <c r="AK49" i="6" s="1"/>
  <c r="AM36" i="6"/>
  <c r="AM40" i="6" s="1"/>
  <c r="AM45" i="6" s="1"/>
  <c r="AM47" i="6" s="1"/>
  <c r="AM55" i="6"/>
  <c r="AN100" i="5"/>
  <c r="AN103" i="5" s="1"/>
  <c r="AN120" i="5"/>
  <c r="AN18" i="6" s="1"/>
  <c r="AN20" i="6" s="1"/>
  <c r="AN46" i="6" s="1"/>
  <c r="AN99" i="5"/>
  <c r="AN102" i="5" s="1"/>
  <c r="AN112" i="5"/>
  <c r="AO81" i="5"/>
  <c r="AO82" i="5" s="1"/>
  <c r="AP76" i="5" s="1"/>
  <c r="AP77" i="5" s="1"/>
  <c r="AP79" i="5" s="1"/>
  <c r="AN114" i="5" l="1"/>
  <c r="AN118" i="5" s="1"/>
  <c r="AN12" i="6"/>
  <c r="AN13" i="6" s="1"/>
  <c r="AL29" i="6"/>
  <c r="AL30" i="6" s="1"/>
  <c r="AM27" i="6" s="1"/>
  <c r="AM31" i="6" s="1"/>
  <c r="AL48" i="6"/>
  <c r="AL49" i="6" s="1"/>
  <c r="AN123" i="5"/>
  <c r="AN106" i="5"/>
  <c r="AO87" i="5"/>
  <c r="AO88" i="5" s="1"/>
  <c r="AO89" i="5" s="1"/>
  <c r="AO90" i="5" s="1"/>
  <c r="AO84" i="5"/>
  <c r="AP80" i="5"/>
  <c r="AP81" i="5" s="1"/>
  <c r="AM29" i="6" l="1"/>
  <c r="AM30" i="6" s="1"/>
  <c r="AN27" i="6" s="1"/>
  <c r="AN31" i="6" s="1"/>
  <c r="AM48" i="6"/>
  <c r="AM49" i="6" s="1"/>
  <c r="AN36" i="6"/>
  <c r="AN40" i="6" s="1"/>
  <c r="AN45" i="6" s="1"/>
  <c r="AN47" i="6" s="1"/>
  <c r="AN55" i="6"/>
  <c r="AO93" i="5"/>
  <c r="AO119" i="5" s="1"/>
  <c r="AO17" i="6" s="1"/>
  <c r="AO92" i="5"/>
  <c r="AO95" i="5" s="1"/>
  <c r="AO111" i="5"/>
  <c r="AO11" i="6" s="1"/>
  <c r="AP82" i="5"/>
  <c r="AQ76" i="5" s="1"/>
  <c r="AP84" i="5"/>
  <c r="AP87" i="5"/>
  <c r="AN29" i="6" l="1"/>
  <c r="AN30" i="6" s="1"/>
  <c r="AO27" i="6" s="1"/>
  <c r="AO31" i="6" s="1"/>
  <c r="AN48" i="6"/>
  <c r="AN49" i="6" s="1"/>
  <c r="AO96" i="5"/>
  <c r="AO100" i="5" s="1"/>
  <c r="AO103" i="5" s="1"/>
  <c r="AO99" i="5"/>
  <c r="AO102" i="5" s="1"/>
  <c r="AO112" i="5"/>
  <c r="AQ77" i="5"/>
  <c r="AQ79" i="5" s="1"/>
  <c r="AP88" i="5"/>
  <c r="AO114" i="5" l="1"/>
  <c r="AO118" i="5" s="1"/>
  <c r="AO12" i="6"/>
  <c r="AO13" i="6" s="1"/>
  <c r="AO29" i="6"/>
  <c r="AO30" i="6" s="1"/>
  <c r="AP27" i="6" s="1"/>
  <c r="AP31" i="6" s="1"/>
  <c r="AO48" i="6"/>
  <c r="AO120" i="5"/>
  <c r="AO106" i="5"/>
  <c r="AP89" i="5"/>
  <c r="AP90" i="5" s="1"/>
  <c r="AP93" i="5"/>
  <c r="AP119" i="5" s="1"/>
  <c r="AP17" i="6" s="1"/>
  <c r="AQ80" i="5"/>
  <c r="AQ81" i="5" s="1"/>
  <c r="AQ82" i="5" s="1"/>
  <c r="AR76" i="5" s="1"/>
  <c r="AP29" i="6" l="1"/>
  <c r="AP30" i="6" s="1"/>
  <c r="AQ27" i="6" s="1"/>
  <c r="AQ31" i="6" s="1"/>
  <c r="AP48" i="6"/>
  <c r="AO36" i="6"/>
  <c r="AO40" i="6" s="1"/>
  <c r="AO45" i="6" s="1"/>
  <c r="AO55" i="6"/>
  <c r="AO123" i="5"/>
  <c r="AO18" i="6"/>
  <c r="AO20" i="6" s="1"/>
  <c r="AO46" i="6" s="1"/>
  <c r="AP92" i="5"/>
  <c r="AP95" i="5" s="1"/>
  <c r="AP111" i="5"/>
  <c r="AP11" i="6" s="1"/>
  <c r="AQ87" i="5"/>
  <c r="AQ88" i="5" s="1"/>
  <c r="AP96" i="5"/>
  <c r="AQ84" i="5"/>
  <c r="AR77" i="5"/>
  <c r="AR79" i="5" s="1"/>
  <c r="AO47" i="6" l="1"/>
  <c r="AO49" i="6" s="1"/>
  <c r="AQ29" i="6"/>
  <c r="AQ30" i="6" s="1"/>
  <c r="AR27" i="6" s="1"/>
  <c r="AR31" i="6" s="1"/>
  <c r="AQ48" i="6"/>
  <c r="AP100" i="5"/>
  <c r="AP103" i="5" s="1"/>
  <c r="AP120" i="5"/>
  <c r="AP18" i="6" s="1"/>
  <c r="AP20" i="6" s="1"/>
  <c r="AP46" i="6" s="1"/>
  <c r="AP99" i="5"/>
  <c r="AP102" i="5" s="1"/>
  <c r="AP112" i="5"/>
  <c r="AQ89" i="5"/>
  <c r="AQ90" i="5" s="1"/>
  <c r="AQ93" i="5"/>
  <c r="AQ119" i="5" s="1"/>
  <c r="AQ17" i="6" s="1"/>
  <c r="AR80" i="5"/>
  <c r="AR81" i="5" s="1"/>
  <c r="AR87" i="5" s="1"/>
  <c r="AP114" i="5" l="1"/>
  <c r="AP118" i="5" s="1"/>
  <c r="AP123" i="5" s="1"/>
  <c r="AP12" i="6"/>
  <c r="AP13" i="6" s="1"/>
  <c r="AR29" i="6"/>
  <c r="AR30" i="6" s="1"/>
  <c r="AS27" i="6" s="1"/>
  <c r="AS31" i="6" s="1"/>
  <c r="AR48" i="6"/>
  <c r="AP106" i="5"/>
  <c r="AQ92" i="5"/>
  <c r="AQ95" i="5" s="1"/>
  <c r="AQ111" i="5"/>
  <c r="AQ11" i="6" s="1"/>
  <c r="AR84" i="5"/>
  <c r="AR82" i="5"/>
  <c r="AS76" i="5" s="1"/>
  <c r="AQ96" i="5"/>
  <c r="AR88" i="5"/>
  <c r="AS29" i="6" l="1"/>
  <c r="AS30" i="6" s="1"/>
  <c r="AS48" i="6"/>
  <c r="AP36" i="6"/>
  <c r="AP40" i="6" s="1"/>
  <c r="AP45" i="6" s="1"/>
  <c r="AP47" i="6" s="1"/>
  <c r="AP49" i="6" s="1"/>
  <c r="AP55" i="6"/>
  <c r="AQ100" i="5"/>
  <c r="AQ103" i="5" s="1"/>
  <c r="AQ120" i="5"/>
  <c r="AQ18" i="6" s="1"/>
  <c r="AQ20" i="6" s="1"/>
  <c r="AQ46" i="6" s="1"/>
  <c r="AQ99" i="5"/>
  <c r="AQ102" i="5" s="1"/>
  <c r="AQ112" i="5"/>
  <c r="AS77" i="5"/>
  <c r="AS79" i="5" s="1"/>
  <c r="AR89" i="5"/>
  <c r="AR90" i="5" s="1"/>
  <c r="AR93" i="5"/>
  <c r="AR119" i="5" s="1"/>
  <c r="AR17" i="6" s="1"/>
  <c r="AQ114" i="5" l="1"/>
  <c r="AQ118" i="5" s="1"/>
  <c r="AQ123" i="5" s="1"/>
  <c r="AQ12" i="6"/>
  <c r="AQ13" i="6" s="1"/>
  <c r="AQ106" i="5"/>
  <c r="AR92" i="5"/>
  <c r="AR95" i="5" s="1"/>
  <c r="AR111" i="5"/>
  <c r="AR11" i="6" s="1"/>
  <c r="I79" i="5"/>
  <c r="AS80" i="5"/>
  <c r="AS81" i="5" s="1"/>
  <c r="AS82" i="5" s="1"/>
  <c r="AR96" i="5"/>
  <c r="AQ36" i="6" l="1"/>
  <c r="AQ40" i="6" s="1"/>
  <c r="AQ55" i="6"/>
  <c r="AR100" i="5"/>
  <c r="AR103" i="5" s="1"/>
  <c r="AR120" i="5"/>
  <c r="AR18" i="6" s="1"/>
  <c r="AR20" i="6" s="1"/>
  <c r="AR46" i="6" s="1"/>
  <c r="AR99" i="5"/>
  <c r="AR102" i="5" s="1"/>
  <c r="AR112" i="5"/>
  <c r="I81" i="5"/>
  <c r="AS87" i="5"/>
  <c r="AS88" i="5" s="1"/>
  <c r="AS84" i="5"/>
  <c r="F85" i="5" s="1"/>
  <c r="AR114" i="5" l="1"/>
  <c r="AR118" i="5" s="1"/>
  <c r="AR123" i="5" s="1"/>
  <c r="AR12" i="6"/>
  <c r="AR13" i="6" s="1"/>
  <c r="AQ45" i="6"/>
  <c r="AQ47" i="6" s="1"/>
  <c r="AQ49" i="6" s="1"/>
  <c r="AR106" i="5"/>
  <c r="AS89" i="5"/>
  <c r="AS90" i="5" s="1"/>
  <c r="AS111" i="5" s="1"/>
  <c r="AS11" i="6" s="1"/>
  <c r="AS93" i="5"/>
  <c r="AS119" i="5" s="1"/>
  <c r="AS17" i="6" s="1"/>
  <c r="AR36" i="6" l="1"/>
  <c r="AR40" i="6" s="1"/>
  <c r="AR55" i="6"/>
  <c r="I111" i="5"/>
  <c r="AS96" i="5"/>
  <c r="AS92" i="5"/>
  <c r="AS95" i="5" s="1"/>
  <c r="I90" i="5"/>
  <c r="AR45" i="6" l="1"/>
  <c r="AR47" i="6" s="1"/>
  <c r="AR49" i="6" s="1"/>
  <c r="AS100" i="5"/>
  <c r="AS103" i="5" s="1"/>
  <c r="AS120" i="5"/>
  <c r="AS18" i="6" s="1"/>
  <c r="AS20" i="6" s="1"/>
  <c r="AS46" i="6" s="1"/>
  <c r="AS99" i="5"/>
  <c r="AS102" i="5" s="1"/>
  <c r="AS112" i="5"/>
  <c r="AS12" i="6" s="1"/>
  <c r="AS13" i="6" s="1"/>
  <c r="AS36" i="6" l="1"/>
  <c r="AS40" i="6" s="1"/>
  <c r="AS55" i="6"/>
  <c r="AS106" i="5"/>
  <c r="G107" i="5" s="1"/>
  <c r="E11" i="2" s="1"/>
  <c r="I112" i="5"/>
  <c r="AS114" i="5"/>
  <c r="AS45" i="6" l="1"/>
  <c r="AS47" i="6" s="1"/>
  <c r="AS49" i="6" s="1"/>
  <c r="F51" i="6" s="1"/>
  <c r="E20" i="2" s="1"/>
  <c r="E42" i="6"/>
  <c r="E19" i="2" s="1"/>
  <c r="F115" i="5"/>
  <c r="E16" i="2" s="1"/>
  <c r="AS118" i="5"/>
  <c r="AS123" i="5" l="1"/>
  <c r="F124" i="5" s="1"/>
  <c r="E17" i="2" s="1"/>
</calcChain>
</file>

<file path=xl/sharedStrings.xml><?xml version="1.0" encoding="utf-8"?>
<sst xmlns="http://schemas.openxmlformats.org/spreadsheetml/2006/main" count="518" uniqueCount="243">
  <si>
    <t>Size</t>
  </si>
  <si>
    <t>Yield</t>
  </si>
  <si>
    <t>Asset Life</t>
  </si>
  <si>
    <t>Degradation</t>
  </si>
  <si>
    <t>Commercial Operations Date</t>
  </si>
  <si>
    <t>PPA Rate</t>
  </si>
  <si>
    <t>Term</t>
  </si>
  <si>
    <t>Escalator</t>
  </si>
  <si>
    <t>Energy Offtake</t>
  </si>
  <si>
    <t>CapEx</t>
  </si>
  <si>
    <t>Operating Costs</t>
  </si>
  <si>
    <t>O&amp;M</t>
  </si>
  <si>
    <t>Asset Management</t>
  </si>
  <si>
    <t>Insurance</t>
  </si>
  <si>
    <t>$/W(dc)</t>
  </si>
  <si>
    <t>MW(dc)</t>
  </si>
  <si>
    <t>Unit</t>
  </si>
  <si>
    <t>Value</t>
  </si>
  <si>
    <t>years</t>
  </si>
  <si>
    <t>%/year</t>
  </si>
  <si>
    <t>$/MWh</t>
  </si>
  <si>
    <t>Tax Equity</t>
  </si>
  <si>
    <t>Tax Equity Flip Term</t>
  </si>
  <si>
    <t>Pre-Flip Cash</t>
  </si>
  <si>
    <t>Post-Flip Cash</t>
  </si>
  <si>
    <t>Debt</t>
  </si>
  <si>
    <t>Amortization</t>
  </si>
  <si>
    <t>All-In Interest Rate</t>
  </si>
  <si>
    <t>Debt Service Coverage Ratio</t>
  </si>
  <si>
    <t>Inflation</t>
  </si>
  <si>
    <t>ITC Eligibility</t>
  </si>
  <si>
    <t>ITC %</t>
  </si>
  <si>
    <t>Pre-Flip Income Allocation</t>
  </si>
  <si>
    <t>Post-Flip Income Allocation</t>
  </si>
  <si>
    <t>Corporate Tax Rate</t>
  </si>
  <si>
    <t>$/kW(dc)/yr</t>
  </si>
  <si>
    <t>kWh/kW(dc)</t>
  </si>
  <si>
    <t>ITC Eligible Depreciation</t>
  </si>
  <si>
    <t>5y MACRS</t>
  </si>
  <si>
    <t>Non-ITC Eligible Depreciation</t>
  </si>
  <si>
    <t>15y Straight Line</t>
  </si>
  <si>
    <t>Cap Ex</t>
  </si>
  <si>
    <t>Taxes &amp; Depreciation</t>
  </si>
  <si>
    <t>Merchant Rate</t>
  </si>
  <si>
    <t>Merchant Escalator</t>
  </si>
  <si>
    <t>Tax Equity Flip IRR</t>
  </si>
  <si>
    <t>Tax Investor Contribution Ratio</t>
  </si>
  <si>
    <t>Back-Leverage Debt</t>
  </si>
  <si>
    <t>Overall Pre-tax Unlevered IRR</t>
  </si>
  <si>
    <t>Sponsor Levered Pre-Tax IRR</t>
  </si>
  <si>
    <t>Sponsor Levered After-Tax IRR</t>
  </si>
  <si>
    <t>DSCR Target for Back-Leverage Debt</t>
  </si>
  <si>
    <t>Key Ratios</t>
  </si>
  <si>
    <t>Uses and Sources</t>
  </si>
  <si>
    <t>Capital Expenditures</t>
  </si>
  <si>
    <t>Tax Equity Investment</t>
  </si>
  <si>
    <t>Total Sponsor</t>
  </si>
  <si>
    <t>Of Which</t>
  </si>
  <si>
    <t xml:space="preserve">Equity </t>
  </si>
  <si>
    <t>Back-leverage Debt</t>
  </si>
  <si>
    <t>%</t>
  </si>
  <si>
    <t>Years</t>
  </si>
  <si>
    <t>% p.a.</t>
  </si>
  <si>
    <t>x</t>
  </si>
  <si>
    <t>Operations</t>
  </si>
  <si>
    <t>Contribution Ratio</t>
  </si>
  <si>
    <t>MACRS</t>
  </si>
  <si>
    <t>Yrs</t>
  </si>
  <si>
    <t>Time Line</t>
  </si>
  <si>
    <t>Start of Period</t>
  </si>
  <si>
    <t>End of Period</t>
  </si>
  <si>
    <t>Period</t>
  </si>
  <si>
    <t>PPA Period</t>
  </si>
  <si>
    <t>Flag</t>
  </si>
  <si>
    <t>Merchant Period</t>
  </si>
  <si>
    <t>Operations Flag</t>
  </si>
  <si>
    <t>Capacity</t>
  </si>
  <si>
    <t>kWp</t>
  </si>
  <si>
    <t>MWp</t>
  </si>
  <si>
    <t>kWh/kWp</t>
  </si>
  <si>
    <t>Generation Before Degradation</t>
  </si>
  <si>
    <t>MWH</t>
  </si>
  <si>
    <t>Index</t>
  </si>
  <si>
    <t>Constant</t>
  </si>
  <si>
    <t>Sum</t>
  </si>
  <si>
    <t>Generation After Degradation</t>
  </si>
  <si>
    <t>Operating Cash Flow</t>
  </si>
  <si>
    <t>Cap Exp</t>
  </si>
  <si>
    <t>Model Units</t>
  </si>
  <si>
    <t>Driver Units</t>
  </si>
  <si>
    <t>$</t>
  </si>
  <si>
    <t>$/kW</t>
  </si>
  <si>
    <t>PPA Rate - No Inflation</t>
  </si>
  <si>
    <t>$/MWH</t>
  </si>
  <si>
    <t>PPA Escalation</t>
  </si>
  <si>
    <t>PPA  Rate Appled</t>
  </si>
  <si>
    <t>Merchant Rate - No Inflation</t>
  </si>
  <si>
    <t>Merchant Escalation</t>
  </si>
  <si>
    <t>Merchant  Rate Appled</t>
  </si>
  <si>
    <t>PPA Revenues</t>
  </si>
  <si>
    <t>Merchant Revenues</t>
  </si>
  <si>
    <t>Inflation Index</t>
  </si>
  <si>
    <t>$/kW-yr</t>
  </si>
  <si>
    <t>Total Operating Cost</t>
  </si>
  <si>
    <t>EBITDA</t>
  </si>
  <si>
    <t>Total Revenues</t>
  </si>
  <si>
    <t>Unlevered Pre-tax Project IRR</t>
  </si>
  <si>
    <t>Transferred Variables</t>
  </si>
  <si>
    <t>Reduced Basis from ITC</t>
  </si>
  <si>
    <t>Investment Tax Credit</t>
  </si>
  <si>
    <t>Eligible Expenditure</t>
  </si>
  <si>
    <t>ITC Amount</t>
  </si>
  <si>
    <t>Tax Basis for Depreciation</t>
  </si>
  <si>
    <t>ITC Eligible</t>
  </si>
  <si>
    <t>Reduced for Basis</t>
  </si>
  <si>
    <t>Tax Basis - Eligible</t>
  </si>
  <si>
    <t>Non-ITC Eligible</t>
  </si>
  <si>
    <t>Depreciation</t>
  </si>
  <si>
    <t>Operating Life</t>
  </si>
  <si>
    <t>Straight Line</t>
  </si>
  <si>
    <t>MACR Depreciation</t>
  </si>
  <si>
    <t>St Line Depreciation</t>
  </si>
  <si>
    <t>Total Depreciation</t>
  </si>
  <si>
    <t>Hypothetical Cash Flow with Deduuctibility</t>
  </si>
  <si>
    <t>Less: Depreciation</t>
  </si>
  <si>
    <t>EBT</t>
  </si>
  <si>
    <t>Tax Rate</t>
  </si>
  <si>
    <t>Plus ITC</t>
  </si>
  <si>
    <t>After Tax Operating Cash Flow</t>
  </si>
  <si>
    <t>Less: Capital Expenditures</t>
  </si>
  <si>
    <t>Net Cash Flow</t>
  </si>
  <si>
    <t>Hypothetical After Tax IRR</t>
  </si>
  <si>
    <t>x ITC</t>
  </si>
  <si>
    <t>Flag for Time Based Flip</t>
  </si>
  <si>
    <t>ITC</t>
  </si>
  <si>
    <t>Total Deprecation</t>
  </si>
  <si>
    <t>Time Based Flip</t>
  </si>
  <si>
    <t>Pre-Flip</t>
  </si>
  <si>
    <t>Post-Flip</t>
  </si>
  <si>
    <t>Tax Investor - Income</t>
  </si>
  <si>
    <t>Sponsor - Income</t>
  </si>
  <si>
    <t>Tax Investor - Cash Flow</t>
  </si>
  <si>
    <t>Sponsor - Cash Flow</t>
  </si>
  <si>
    <t>Income</t>
  </si>
  <si>
    <t>Tax Investor</t>
  </si>
  <si>
    <t>Cash Flow</t>
  </si>
  <si>
    <t>Investment</t>
  </si>
  <si>
    <t>Taxes</t>
  </si>
  <si>
    <t xml:space="preserve">Net Cash Flow  </t>
  </si>
  <si>
    <t>Tax Investor IRR</t>
  </si>
  <si>
    <t>Less: Investment</t>
  </si>
  <si>
    <t>Hypothetical IRR with Full Deduction Use</t>
  </si>
  <si>
    <t>Net Cash Flow After Tax - Tax Investor Time Flip</t>
  </si>
  <si>
    <t>Net Cash Flow - Sponsor</t>
  </si>
  <si>
    <t>Total Invetment</t>
  </si>
  <si>
    <t>Total EBITDA</t>
  </si>
  <si>
    <t>Less: Tax Investor Cash</t>
  </si>
  <si>
    <t>Sponsor Cash</t>
  </si>
  <si>
    <t>Net Pre-tax Cash Flow</t>
  </si>
  <si>
    <t>Sponsor Pre-tax IRR</t>
  </si>
  <si>
    <t>Tax Investor After-tax IRR - Time based Flip</t>
  </si>
  <si>
    <t>Total Income</t>
  </si>
  <si>
    <t>Income to Tax Investor</t>
  </si>
  <si>
    <t>Income to Sponsor</t>
  </si>
  <si>
    <t>Taxes to Sponsor</t>
  </si>
  <si>
    <t>ITC to Sponsor</t>
  </si>
  <si>
    <t>Investment by Sponsor</t>
  </si>
  <si>
    <t>Sponsor After-tax IRR</t>
  </si>
  <si>
    <t>Yield Based Flip</t>
  </si>
  <si>
    <t>Total Cash Flow</t>
  </si>
  <si>
    <t>Tax Investor Cash Pre-Flip</t>
  </si>
  <si>
    <t>Tax Investor ITC</t>
  </si>
  <si>
    <t>Contribution</t>
  </si>
  <si>
    <t>After-tax Cash Flow</t>
  </si>
  <si>
    <t>Yield Base Flip Tracking Account</t>
  </si>
  <si>
    <t>Opening</t>
  </si>
  <si>
    <t>Add: Accrued Cost of Capital</t>
  </si>
  <si>
    <t>Closing Balance</t>
  </si>
  <si>
    <t>Add: Investment</t>
  </si>
  <si>
    <t>Net Cash Flow Pre-Flip</t>
  </si>
  <si>
    <t>IRR Pre-Flip</t>
  </si>
  <si>
    <t>Tax Investor - Pre-Flip Cash %</t>
  </si>
  <si>
    <t>Total After-tax Cash Flow</t>
  </si>
  <si>
    <t>Less: Cash Received - Operations</t>
  </si>
  <si>
    <t>Subtotal</t>
  </si>
  <si>
    <t>Tax Investor Taxes Pre-Flip</t>
  </si>
  <si>
    <t>Sponsor - Pre-Flip</t>
  </si>
  <si>
    <t>Percent of Period Pre-Flip</t>
  </si>
  <si>
    <t>Less: Cash Received from Tax</t>
  </si>
  <si>
    <t>Cash Received from Tax</t>
  </si>
  <si>
    <t>Total Cash Pre-Flip</t>
  </si>
  <si>
    <t>Total Income Pre-Flip</t>
  </si>
  <si>
    <t>Sponsor Cash Pre-Flip</t>
  </si>
  <si>
    <t>Tax Investor Post-Flip Cash</t>
  </si>
  <si>
    <t>Tax Investor Post-Flip Income</t>
  </si>
  <si>
    <t>Total Tax Investor Cash</t>
  </si>
  <si>
    <t>Total Tax Investor Income x t</t>
  </si>
  <si>
    <t>Tax Investor After-tax IRR - Yield base Flip</t>
  </si>
  <si>
    <t>Sponsor Unlevered Pre-Tax IRR - Time Based</t>
  </si>
  <si>
    <t>Sponsor Unlevered After-Tax IRR - Time Based</t>
  </si>
  <si>
    <t>Sponsor Unlevered Pre-Tax IRR - Yield Based</t>
  </si>
  <si>
    <t>Sponsor Unlevered After-Tax IRR - Yield Based</t>
  </si>
  <si>
    <t>IRR for Tax Investor Yield Based</t>
  </si>
  <si>
    <t>Sponsor IRRs with Yield Based Flip</t>
  </si>
  <si>
    <t>Pre-tax Cash Flow Pre-flip</t>
  </si>
  <si>
    <t>Pre-tax Cash Flow Post-Flip</t>
  </si>
  <si>
    <t>Total Cash Flow Post-Flip</t>
  </si>
  <si>
    <t>Total Income Post-Flip</t>
  </si>
  <si>
    <t>Tax Investor Return with Yield Based Flip</t>
  </si>
  <si>
    <t>Pre-tax Cash Flow - Sponsor</t>
  </si>
  <si>
    <t>Pre-tax Cash IRR - Sponsor</t>
  </si>
  <si>
    <t>Pre-tax Return</t>
  </si>
  <si>
    <t>Post-tax Return</t>
  </si>
  <si>
    <t>Pre-tax Cash Flow</t>
  </si>
  <si>
    <t>Tax to Sponsor - Pre-flip</t>
  </si>
  <si>
    <t>Tax to Sponsor - Post-flip</t>
  </si>
  <si>
    <t>Sponsor After-tax</t>
  </si>
  <si>
    <t>Pre-tax Cash Flow Before Flip to Sponsor</t>
  </si>
  <si>
    <t>Total Pre-tax Cash Flow</t>
  </si>
  <si>
    <t>Repayment Flag</t>
  </si>
  <si>
    <t>Target Debt Service</t>
  </si>
  <si>
    <t>PV of Debt Service at Interest Rate</t>
  </si>
  <si>
    <t>Opening Balance</t>
  </si>
  <si>
    <t>Add: Debt Issue</t>
  </si>
  <si>
    <t>Less Repayment</t>
  </si>
  <si>
    <t>Interest</t>
  </si>
  <si>
    <t>Closing Balance Test</t>
  </si>
  <si>
    <t>Sponsor Investment</t>
  </si>
  <si>
    <t xml:space="preserve">Equity Cash Flow </t>
  </si>
  <si>
    <t>Add: Debt Issued</t>
  </si>
  <si>
    <t>Less: Debt Service</t>
  </si>
  <si>
    <t>Equity Cash Flow</t>
  </si>
  <si>
    <t>Pre-tax Leered IRR</t>
  </si>
  <si>
    <t>Equity Cash Flow After Tax</t>
  </si>
  <si>
    <t>Total Taxes Paid</t>
  </si>
  <si>
    <t>Pre-tax Net Cash Flow after Leverage</t>
  </si>
  <si>
    <t>Less: Tax Paid</t>
  </si>
  <si>
    <t>Cash Flow before Tax Effect of Interest</t>
  </si>
  <si>
    <t>Tax Shield from Interest</t>
  </si>
  <si>
    <t>Cash Flow with Tax Shield Benefit</t>
  </si>
  <si>
    <t>After Tax IRR with Leverage</t>
  </si>
  <si>
    <t>Graph</t>
  </si>
  <si>
    <t>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</si>
</sst>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[Red]_(* \(#,##0.00\);_-* &quot;-&quot;??_-;_-@_-"/>
    <numFmt numFmtId="166" formatCode="_(* #,##0_);[Red]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8FFE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0" xfId="1" applyNumberFormat="1" applyFont="1"/>
    <xf numFmtId="164" fontId="1" fillId="0" borderId="0" xfId="1" applyNumberFormat="1" applyFont="1"/>
    <xf numFmtId="0" fontId="0" fillId="0" borderId="0" xfId="0" applyAlignment="1">
      <alignment horizontal="center"/>
    </xf>
    <xf numFmtId="10" fontId="1" fillId="0" borderId="0" xfId="1" applyNumberFormat="1" applyFont="1"/>
    <xf numFmtId="0" fontId="6" fillId="2" borderId="0" xfId="0" applyFont="1" applyFill="1"/>
    <xf numFmtId="164" fontId="6" fillId="2" borderId="0" xfId="1" applyNumberFormat="1" applyFont="1" applyFill="1"/>
    <xf numFmtId="10" fontId="6" fillId="2" borderId="0" xfId="0" applyNumberFormat="1" applyFont="1" applyFill="1"/>
    <xf numFmtId="14" fontId="6" fillId="2" borderId="0" xfId="0" applyNumberFormat="1" applyFont="1" applyFill="1"/>
    <xf numFmtId="43" fontId="6" fillId="2" borderId="0" xfId="1" applyFont="1" applyFill="1"/>
    <xf numFmtId="9" fontId="6" fillId="2" borderId="0" xfId="0" applyNumberFormat="1" applyFont="1" applyFill="1"/>
    <xf numFmtId="166" fontId="0" fillId="0" borderId="0" xfId="0" applyNumberFormat="1"/>
    <xf numFmtId="10" fontId="0" fillId="0" borderId="0" xfId="0" applyNumberFormat="1"/>
    <xf numFmtId="165" fontId="1" fillId="0" borderId="0" xfId="1" applyNumberFormat="1" applyFont="1"/>
    <xf numFmtId="43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6" fontId="7" fillId="3" borderId="0" xfId="0" applyNumberFormat="1" applyFont="1" applyFill="1"/>
    <xf numFmtId="166" fontId="7" fillId="3" borderId="1" xfId="0" applyNumberFormat="1" applyFont="1" applyFill="1" applyBorder="1"/>
    <xf numFmtId="0" fontId="7" fillId="4" borderId="0" xfId="0" applyFont="1" applyFill="1"/>
    <xf numFmtId="166" fontId="7" fillId="4" borderId="0" xfId="0" applyNumberFormat="1" applyFont="1" applyFill="1"/>
    <xf numFmtId="10" fontId="7" fillId="4" borderId="0" xfId="0" applyNumberFormat="1" applyFont="1" applyFill="1"/>
    <xf numFmtId="43" fontId="7" fillId="4" borderId="0" xfId="0" applyNumberFormat="1" applyFont="1" applyFill="1"/>
    <xf numFmtId="9" fontId="7" fillId="4" borderId="0" xfId="0" applyNumberFormat="1" applyFont="1" applyFill="1"/>
    <xf numFmtId="0" fontId="8" fillId="5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14" fontId="5" fillId="6" borderId="0" xfId="0" applyNumberFormat="1" applyFont="1" applyFill="1"/>
    <xf numFmtId="0" fontId="9" fillId="0" borderId="0" xfId="0" applyFont="1"/>
    <xf numFmtId="166" fontId="9" fillId="0" borderId="0" xfId="0" applyNumberFormat="1" applyFont="1"/>
    <xf numFmtId="9" fontId="9" fillId="0" borderId="0" xfId="0" applyNumberFormat="1" applyFont="1"/>
    <xf numFmtId="0" fontId="9" fillId="0" borderId="1" xfId="0" applyFont="1" applyBorder="1"/>
    <xf numFmtId="166" fontId="9" fillId="0" borderId="1" xfId="0" applyNumberFormat="1" applyFont="1" applyBorder="1"/>
    <xf numFmtId="10" fontId="9" fillId="0" borderId="0" xfId="0" applyNumberFormat="1" applyFont="1"/>
    <xf numFmtId="10" fontId="7" fillId="3" borderId="0" xfId="0" applyNumberFormat="1" applyFont="1" applyFill="1"/>
    <xf numFmtId="10" fontId="9" fillId="0" borderId="1" xfId="0" applyNumberFormat="1" applyFont="1" applyBorder="1"/>
    <xf numFmtId="10" fontId="5" fillId="6" borderId="0" xfId="0" applyNumberFormat="1" applyFont="1" applyFill="1" applyAlignment="1">
      <alignment horizontal="center"/>
    </xf>
    <xf numFmtId="165" fontId="9" fillId="0" borderId="0" xfId="1" applyNumberFormat="1" applyFont="1" applyFill="1"/>
    <xf numFmtId="0" fontId="7" fillId="3" borderId="0" xfId="0" applyFont="1" applyFill="1"/>
  </cellXfs>
  <cellStyles count="2">
    <cellStyle name="Comma" xfId="1" builtinId="3"/>
    <cellStyle name="Normal" xfId="0" builtinId="0"/>
  </cellStyles>
  <dxfs count="38"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and Debt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'Back Leverage'!$C$55:$J$55</c:f>
              <c:strCache>
                <c:ptCount val="8"/>
                <c:pt idx="0">
                  <c:v>Cash Flow</c:v>
                </c:pt>
                <c:pt idx="7">
                  <c:v> -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'Back Leverage'!$K$54:$AS$54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'Back Leverage'!$K$55:$AS$55</c:f>
              <c:numCache>
                <c:formatCode>_(* #,##0_);[Red]_(* \(#,##0\);_(* "-"??_);_(@_)</c:formatCode>
                <c:ptCount val="35"/>
                <c:pt idx="0">
                  <c:v>4018700</c:v>
                </c:pt>
                <c:pt idx="1">
                  <c:v>3977186.5</c:v>
                </c:pt>
                <c:pt idx="2">
                  <c:v>4084433.7281705458</c:v>
                </c:pt>
                <c:pt idx="3">
                  <c:v>4623518.8271617191</c:v>
                </c:pt>
                <c:pt idx="4">
                  <c:v>4573408.0810359102</c:v>
                </c:pt>
                <c:pt idx="5">
                  <c:v>4523008.0256009307</c:v>
                </c:pt>
                <c:pt idx="6">
                  <c:v>4472309.3101425311</c:v>
                </c:pt>
                <c:pt idx="7">
                  <c:v>4421302.4147548135</c:v>
                </c:pt>
                <c:pt idx="8">
                  <c:v>4369977.6468672948</c:v>
                </c:pt>
                <c:pt idx="9">
                  <c:v>4318325.1377029391</c:v>
                </c:pt>
                <c:pt idx="10">
                  <c:v>4266334.8386658058</c:v>
                </c:pt>
                <c:pt idx="11">
                  <c:v>4213996.5176568842</c:v>
                </c:pt>
                <c:pt idx="12">
                  <c:v>4161299.7553166961</c:v>
                </c:pt>
                <c:pt idx="13">
                  <c:v>4108233.9411931718</c:v>
                </c:pt>
                <c:pt idx="14">
                  <c:v>4054788.2698333259</c:v>
                </c:pt>
                <c:pt idx="15">
                  <c:v>4000951.7367972005</c:v>
                </c:pt>
                <c:pt idx="16">
                  <c:v>3946713.1345925168</c:v>
                </c:pt>
                <c:pt idx="17">
                  <c:v>3892061.0485284436</c:v>
                </c:pt>
                <c:pt idx="18">
                  <c:v>3836983.8524868689</c:v>
                </c:pt>
                <c:pt idx="19">
                  <c:v>3781469.7046095226</c:v>
                </c:pt>
                <c:pt idx="20">
                  <c:v>5221901.8917385321</c:v>
                </c:pt>
                <c:pt idx="21">
                  <c:v>5157995.452828886</c:v>
                </c:pt>
                <c:pt idx="22">
                  <c:v>5093652.6075247675</c:v>
                </c:pt>
                <c:pt idx="23">
                  <c:v>5028860.4190863706</c:v>
                </c:pt>
                <c:pt idx="24">
                  <c:v>4963605.7130821506</c:v>
                </c:pt>
                <c:pt idx="25">
                  <c:v>4897875.072529776</c:v>
                </c:pt>
                <c:pt idx="26">
                  <c:v>4831654.8329404239</c:v>
                </c:pt>
                <c:pt idx="27">
                  <c:v>4764931.0772644849</c:v>
                </c:pt>
                <c:pt idx="28">
                  <c:v>4697689.6307366993</c:v>
                </c:pt>
                <c:pt idx="29">
                  <c:v>4629916.0556187239</c:v>
                </c:pt>
                <c:pt idx="30">
                  <c:v>4561595.6458370537</c:v>
                </c:pt>
                <c:pt idx="31">
                  <c:v>4492713.4215142187</c:v>
                </c:pt>
                <c:pt idx="32">
                  <c:v>4423254.1233911254</c:v>
                </c:pt>
                <c:pt idx="33">
                  <c:v>4353202.2071383372</c:v>
                </c:pt>
                <c:pt idx="34">
                  <c:v>4282541.8375540972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7-4B77-9160-016968DDD76D}"/>
            </c:ext>
          </c:extLst>
        </c:ser>
        <c:ser>
          <c:idx val="1"/>
          <c:order val="1"/>
          <c:tx>
            <c:strRef>
              <c:f>'Back Leverage'!$C$56:$J$56</c:f>
              <c:strCache>
                <c:ptCount val="8"/>
                <c:pt idx="0">
                  <c:v>Debt Service</c:v>
                </c:pt>
                <c:pt idx="7">
                  <c:v> -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'Back Leverage'!$K$54:$AS$54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'Back Leverage'!$K$56:$AS$56</c:f>
              <c:numCache>
                <c:formatCode>_(* #,##0_);[Red]_(* \(#,##0\);_(* "-"??_);_(@_)</c:formatCode>
                <c:ptCount val="35"/>
                <c:pt idx="0">
                  <c:v>3091307.692307692</c:v>
                </c:pt>
                <c:pt idx="1">
                  <c:v>3059374.2307692305</c:v>
                </c:pt>
                <c:pt idx="2">
                  <c:v>3141872.0985927274</c:v>
                </c:pt>
                <c:pt idx="3">
                  <c:v>3556552.9439705531</c:v>
                </c:pt>
                <c:pt idx="4">
                  <c:v>3518006.2161814691</c:v>
                </c:pt>
                <c:pt idx="5">
                  <c:v>3479236.9427699465</c:v>
                </c:pt>
                <c:pt idx="6">
                  <c:v>3440237.9308788697</c:v>
                </c:pt>
                <c:pt idx="7">
                  <c:v>3401001.8575037024</c:v>
                </c:pt>
                <c:pt idx="8">
                  <c:v>3361521.2668209961</c:v>
                </c:pt>
                <c:pt idx="9">
                  <c:v>3321788.5674637994</c:v>
                </c:pt>
                <c:pt idx="10">
                  <c:v>3281796.0297429273</c:v>
                </c:pt>
                <c:pt idx="11">
                  <c:v>3241535.7828129879</c:v>
                </c:pt>
                <c:pt idx="12">
                  <c:v>3200999.8117820737</c:v>
                </c:pt>
                <c:pt idx="13">
                  <c:v>3160179.9547639783</c:v>
                </c:pt>
                <c:pt idx="14">
                  <c:v>3119067.8998717889</c:v>
                </c:pt>
                <c:pt idx="15">
                  <c:v>3077655.1821516925</c:v>
                </c:pt>
                <c:pt idx="16">
                  <c:v>3035933.180455782</c:v>
                </c:pt>
                <c:pt idx="17">
                  <c:v>2993893.1142526488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7-4B77-9160-016968DD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876704"/>
        <c:axId val="656871296"/>
      </c:barChart>
      <c:catAx>
        <c:axId val="6568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71296"/>
        <c:crosses val="autoZero"/>
        <c:auto val="1"/>
        <c:lblAlgn val="ctr"/>
        <c:lblOffset val="100"/>
        <c:noMultiLvlLbl val="0"/>
      </c:catAx>
      <c:valAx>
        <c:axId val="6568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[Red]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31" fmlaLink="Inputs!$G$35" max="20" min="10" page="10" val="14"/>
</file>

<file path=xl/ctrlProps/ctrlProp2.xml><?xml version="1.0" encoding="utf-8"?>
<formControlPr xmlns="http://schemas.microsoft.com/office/spreadsheetml/2009/9/main" objectType="Spin" dx="31" fmlaLink="Inputs!$G$35" max="20" min="10" page="10" val="14"/>
</file>

<file path=xl/ctrlProps/ctrlProp3.xml><?xml version="1.0" encoding="utf-8"?>
<formControlPr xmlns="http://schemas.microsoft.com/office/spreadsheetml/2009/9/main" objectType="Spin" dx="31" fmlaLink="Inputs!$G$35" max="20" min="10" page="10" val="14"/>
</file>

<file path=xl/ctrlProps/ctrlProp4.xml><?xml version="1.0" encoding="utf-8"?>
<formControlPr xmlns="http://schemas.microsoft.com/office/spreadsheetml/2009/9/main" objectType="Spin" dx="31" fmlaLink="Inputs!$G$35" max="20" min="10" page="10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127000</xdr:colOff>
          <xdr:row>2</xdr:row>
          <xdr:rowOff>0</xdr:rowOff>
        </xdr:from>
        <xdr:to>
          <xdr:col>5</xdr:col>
          <xdr:colOff>393700</xdr:colOff>
          <xdr:row>2</xdr:row>
          <xdr:rowOff>177800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508000</xdr:colOff>
      <xdr:row>2</xdr:row>
      <xdr:rowOff>165100</xdr:rowOff>
    </xdr:from>
    <xdr:to>
      <xdr:col>17</xdr:col>
      <xdr:colOff>101600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127000</xdr:colOff>
          <xdr:row>34</xdr:row>
          <xdr:rowOff>12700</xdr:rowOff>
        </xdr:from>
        <xdr:to>
          <xdr:col>6</xdr:col>
          <xdr:colOff>393700</xdr:colOff>
          <xdr:row>35</xdr:row>
          <xdr:rowOff>6350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603250</xdr:colOff>
          <xdr:row>33</xdr:row>
          <xdr:rowOff>12700</xdr:rowOff>
        </xdr:from>
        <xdr:to>
          <xdr:col>6</xdr:col>
          <xdr:colOff>146050</xdr:colOff>
          <xdr:row>34</xdr:row>
          <xdr:rowOff>6350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31750</xdr:colOff>
          <xdr:row>2</xdr:row>
          <xdr:rowOff>25400</xdr:rowOff>
        </xdr:from>
        <xdr:to>
          <xdr:col>7</xdr:col>
          <xdr:colOff>298450</xdr:colOff>
          <xdr:row>3</xdr:row>
          <xdr:rowOff>19050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BAB6-D028-4F26-9C6E-AD673270C32B}">
  <sheetPr codeName="Sheet2"/>
  <dimension ref="B2:J20"/>
  <sheetViews>
    <sheetView showGridLines="0" tabSelected="1" workbookViewId="0">
      <selection activeCell="I19" sqref="I19"/>
    </sheetView>
  </sheetViews>
  <sheetFormatPr defaultRowHeight="14.5" x14ac:dyDescent="0.35"/>
  <cols>
    <col min="1" max="3" width="1.54296875" customWidth="1"/>
    <col min="4" max="4" width="38.90625" customWidth="1"/>
    <col min="5" max="5" width="12.81640625" customWidth="1"/>
    <col min="6" max="6" width="9.08984375" customWidth="1"/>
    <col min="7" max="7" width="3.7265625" customWidth="1"/>
    <col min="8" max="8" width="5.6328125" customWidth="1"/>
    <col min="9" max="9" width="13.6328125" customWidth="1"/>
    <col min="10" max="10" width="13" customWidth="1"/>
  </cols>
  <sheetData>
    <row r="2" spans="2:10" x14ac:dyDescent="0.35">
      <c r="B2" t="s">
        <v>52</v>
      </c>
    </row>
    <row r="3" spans="2:10" x14ac:dyDescent="0.35">
      <c r="D3" t="s">
        <v>46</v>
      </c>
      <c r="E3">
        <f>Inputs!F35</f>
        <v>1.4</v>
      </c>
      <c r="G3" t="s">
        <v>53</v>
      </c>
    </row>
    <row r="4" spans="2:10" x14ac:dyDescent="0.35">
      <c r="D4" t="s">
        <v>51</v>
      </c>
      <c r="E4">
        <f>Inputs!F46</f>
        <v>1.3</v>
      </c>
      <c r="H4" t="s">
        <v>54</v>
      </c>
      <c r="J4" s="15">
        <f>'SPV Operating Cash'!J21</f>
        <v>100000000</v>
      </c>
    </row>
    <row r="5" spans="2:10" x14ac:dyDescent="0.35">
      <c r="D5" t="s">
        <v>47</v>
      </c>
    </row>
    <row r="6" spans="2:10" x14ac:dyDescent="0.35">
      <c r="H6" t="s">
        <v>55</v>
      </c>
      <c r="J6" s="15">
        <f>Allocation!J34</f>
        <v>39900000</v>
      </c>
    </row>
    <row r="7" spans="2:10" x14ac:dyDescent="0.35">
      <c r="D7" t="s">
        <v>48</v>
      </c>
      <c r="E7" s="16">
        <f>'SPV Operating Cash'!E46</f>
        <v>3.0886781250105466E-2</v>
      </c>
      <c r="H7" t="s">
        <v>56</v>
      </c>
      <c r="J7" s="15">
        <f>Allocation!J45</f>
        <v>60100000</v>
      </c>
    </row>
    <row r="8" spans="2:10" x14ac:dyDescent="0.35">
      <c r="D8" t="s">
        <v>151</v>
      </c>
      <c r="E8" s="16">
        <f>Taxes!F47</f>
        <v>5.7171142763451366E-2</v>
      </c>
      <c r="H8" t="s">
        <v>57</v>
      </c>
    </row>
    <row r="9" spans="2:10" x14ac:dyDescent="0.35">
      <c r="H9" t="s">
        <v>58</v>
      </c>
      <c r="J9" s="15">
        <f>J7-J10</f>
        <v>18803963.326602452</v>
      </c>
    </row>
    <row r="10" spans="2:10" x14ac:dyDescent="0.35">
      <c r="D10" t="s">
        <v>160</v>
      </c>
      <c r="E10" s="16">
        <f>Allocation!$F$42</f>
        <v>0.20554672953846853</v>
      </c>
      <c r="H10" t="s">
        <v>59</v>
      </c>
      <c r="J10" s="15">
        <f>'Back Leverage'!G28</f>
        <v>41296036.673397548</v>
      </c>
    </row>
    <row r="11" spans="2:10" x14ac:dyDescent="0.35">
      <c r="D11" t="s">
        <v>197</v>
      </c>
      <c r="E11" s="16">
        <f>Allocation!G107</f>
        <v>0.13153011328933717</v>
      </c>
    </row>
    <row r="13" spans="2:10" x14ac:dyDescent="0.35">
      <c r="D13" t="s">
        <v>198</v>
      </c>
      <c r="E13" s="16">
        <f>Allocation!F50</f>
        <v>6.1009818448656272E-2</v>
      </c>
    </row>
    <row r="14" spans="2:10" x14ac:dyDescent="0.35">
      <c r="D14" t="s">
        <v>199</v>
      </c>
      <c r="E14" s="16">
        <f>Allocation!F59</f>
        <v>4.9325750937270652E-2</v>
      </c>
    </row>
    <row r="16" spans="2:10" x14ac:dyDescent="0.35">
      <c r="D16" t="s">
        <v>200</v>
      </c>
      <c r="E16" s="16">
        <f>Allocation!F115</f>
        <v>6.4072305745423774E-2</v>
      </c>
    </row>
    <row r="17" spans="4:5" x14ac:dyDescent="0.35">
      <c r="D17" t="s">
        <v>201</v>
      </c>
      <c r="E17" s="16">
        <f>Allocation!F124</f>
        <v>5.2997691202110175E-2</v>
      </c>
    </row>
    <row r="19" spans="4:5" x14ac:dyDescent="0.35">
      <c r="D19" t="s">
        <v>49</v>
      </c>
      <c r="E19" s="16">
        <f>'Back Leverage'!E42</f>
        <v>8.3342276263518311E-2</v>
      </c>
    </row>
    <row r="20" spans="4:5" x14ac:dyDescent="0.35">
      <c r="D20" t="s">
        <v>50</v>
      </c>
      <c r="E20" s="16">
        <f>'Back Leverage'!F51</f>
        <v>7.2203891523351826E-2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5</xdr:col>
                    <xdr:colOff>127000</xdr:colOff>
                    <xdr:row>2</xdr:row>
                    <xdr:rowOff>0</xdr:rowOff>
                  </from>
                  <to>
                    <xdr:col>5</xdr:col>
                    <xdr:colOff>393700</xdr:colOff>
                    <xdr:row>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EA81-E634-41FE-8C2A-B7FEBE39F8E7}">
  <sheetPr codeName="Sheet1"/>
  <dimension ref="C2:AI51"/>
  <sheetViews>
    <sheetView showGridLines="0" zoomScale="90" zoomScaleNormal="90" workbookViewId="0">
      <selection activeCell="E1" sqref="E1"/>
    </sheetView>
  </sheetViews>
  <sheetFormatPr defaultColWidth="9.1796875" defaultRowHeight="14.5" x14ac:dyDescent="0.35"/>
  <cols>
    <col min="1" max="2" width="1.453125" customWidth="1"/>
    <col min="3" max="3" width="1.453125" style="1" customWidth="1"/>
    <col min="4" max="4" width="24.7265625" customWidth="1"/>
    <col min="5" max="5" width="16" customWidth="1"/>
    <col min="6" max="6" width="14.1796875" customWidth="1"/>
    <col min="7" max="32" width="12.1796875" style="6" bestFit="1" customWidth="1"/>
    <col min="33" max="35" width="11" style="6" bestFit="1" customWidth="1"/>
    <col min="36" max="37" width="9.1796875" customWidth="1"/>
  </cols>
  <sheetData>
    <row r="2" spans="3:7" x14ac:dyDescent="0.35">
      <c r="E2" s="7" t="s">
        <v>16</v>
      </c>
      <c r="F2" s="7" t="s">
        <v>17</v>
      </c>
    </row>
    <row r="3" spans="3:7" x14ac:dyDescent="0.35">
      <c r="C3" s="1" t="s">
        <v>64</v>
      </c>
      <c r="E3" s="7"/>
      <c r="F3" s="7"/>
    </row>
    <row r="4" spans="3:7" x14ac:dyDescent="0.35">
      <c r="D4" t="s">
        <v>0</v>
      </c>
      <c r="E4" s="2" t="s">
        <v>15</v>
      </c>
      <c r="F4" s="9">
        <v>100</v>
      </c>
    </row>
    <row r="5" spans="3:7" x14ac:dyDescent="0.35">
      <c r="D5" t="s">
        <v>1</v>
      </c>
      <c r="E5" s="2" t="s">
        <v>36</v>
      </c>
      <c r="F5" s="10">
        <v>1750</v>
      </c>
      <c r="G5" s="8"/>
    </row>
    <row r="6" spans="3:7" x14ac:dyDescent="0.35">
      <c r="D6" t="s">
        <v>2</v>
      </c>
      <c r="E6" s="2" t="s">
        <v>18</v>
      </c>
      <c r="F6" s="9">
        <v>35</v>
      </c>
    </row>
    <row r="7" spans="3:7" x14ac:dyDescent="0.35">
      <c r="D7" t="s">
        <v>3</v>
      </c>
      <c r="E7" s="2" t="s">
        <v>19</v>
      </c>
      <c r="F7" s="11">
        <v>5.0000000000000001E-3</v>
      </c>
    </row>
    <row r="8" spans="3:7" x14ac:dyDescent="0.35">
      <c r="D8" t="s">
        <v>4</v>
      </c>
      <c r="E8" s="2"/>
      <c r="F8" s="12">
        <v>44196</v>
      </c>
    </row>
    <row r="9" spans="3:7" x14ac:dyDescent="0.35">
      <c r="E9" s="2"/>
      <c r="F9" s="3"/>
    </row>
    <row r="10" spans="3:7" x14ac:dyDescent="0.35">
      <c r="C10" s="1" t="s">
        <v>8</v>
      </c>
      <c r="E10" s="2"/>
      <c r="F10" s="3"/>
    </row>
    <row r="11" spans="3:7" x14ac:dyDescent="0.35">
      <c r="D11" t="s">
        <v>5</v>
      </c>
      <c r="E11" s="2" t="s">
        <v>20</v>
      </c>
      <c r="F11" s="13">
        <v>35</v>
      </c>
    </row>
    <row r="12" spans="3:7" x14ac:dyDescent="0.35">
      <c r="D12" t="s">
        <v>6</v>
      </c>
      <c r="E12" s="2" t="s">
        <v>18</v>
      </c>
      <c r="F12" s="9">
        <v>20</v>
      </c>
    </row>
    <row r="13" spans="3:7" x14ac:dyDescent="0.35">
      <c r="D13" t="s">
        <v>7</v>
      </c>
      <c r="E13" s="2" t="s">
        <v>19</v>
      </c>
      <c r="F13" s="14">
        <v>0</v>
      </c>
    </row>
    <row r="14" spans="3:7" x14ac:dyDescent="0.35">
      <c r="D14" t="s">
        <v>43</v>
      </c>
      <c r="E14" s="2" t="s">
        <v>20</v>
      </c>
      <c r="F14" s="13">
        <v>45</v>
      </c>
    </row>
    <row r="15" spans="3:7" x14ac:dyDescent="0.35">
      <c r="D15" t="s">
        <v>44</v>
      </c>
      <c r="E15" s="2" t="s">
        <v>19</v>
      </c>
      <c r="F15" s="14">
        <v>0</v>
      </c>
    </row>
    <row r="16" spans="3:7" x14ac:dyDescent="0.35">
      <c r="E16" s="2"/>
      <c r="F16" s="3"/>
    </row>
    <row r="17" spans="3:7" x14ac:dyDescent="0.35">
      <c r="C17" s="1" t="s">
        <v>10</v>
      </c>
      <c r="E17" s="2"/>
      <c r="F17" s="3"/>
    </row>
    <row r="18" spans="3:7" x14ac:dyDescent="0.35">
      <c r="D18" t="s">
        <v>11</v>
      </c>
      <c r="E18" s="2" t="s">
        <v>35</v>
      </c>
      <c r="F18" s="13">
        <v>7</v>
      </c>
    </row>
    <row r="19" spans="3:7" x14ac:dyDescent="0.35">
      <c r="D19" t="s">
        <v>12</v>
      </c>
      <c r="E19" s="2" t="s">
        <v>35</v>
      </c>
      <c r="F19" s="13">
        <v>1.5</v>
      </c>
    </row>
    <row r="20" spans="3:7" x14ac:dyDescent="0.35">
      <c r="D20" t="s">
        <v>13</v>
      </c>
      <c r="E20" s="2" t="s">
        <v>35</v>
      </c>
      <c r="F20" s="13">
        <v>2</v>
      </c>
    </row>
    <row r="21" spans="3:7" x14ac:dyDescent="0.35">
      <c r="D21" t="s">
        <v>29</v>
      </c>
      <c r="E21" s="2"/>
      <c r="F21" s="14">
        <v>0.02</v>
      </c>
    </row>
    <row r="22" spans="3:7" x14ac:dyDescent="0.35">
      <c r="E22" s="2"/>
      <c r="F22" s="3"/>
    </row>
    <row r="23" spans="3:7" x14ac:dyDescent="0.35">
      <c r="C23" s="1" t="s">
        <v>41</v>
      </c>
      <c r="E23" s="2"/>
      <c r="F23" s="3"/>
    </row>
    <row r="24" spans="3:7" x14ac:dyDescent="0.35">
      <c r="D24" t="s">
        <v>9</v>
      </c>
      <c r="E24" s="2" t="s">
        <v>14</v>
      </c>
      <c r="F24" s="13">
        <v>1</v>
      </c>
    </row>
    <row r="25" spans="3:7" x14ac:dyDescent="0.35">
      <c r="D25" t="s">
        <v>30</v>
      </c>
      <c r="E25" t="s">
        <v>60</v>
      </c>
      <c r="F25" s="14">
        <v>0.95</v>
      </c>
    </row>
    <row r="26" spans="3:7" x14ac:dyDescent="0.35">
      <c r="F26" s="14"/>
    </row>
    <row r="27" spans="3:7" x14ac:dyDescent="0.35">
      <c r="C27" s="1" t="s">
        <v>42</v>
      </c>
      <c r="F27" s="3"/>
    </row>
    <row r="28" spans="3:7" x14ac:dyDescent="0.35">
      <c r="D28" t="s">
        <v>31</v>
      </c>
      <c r="E28" t="s">
        <v>60</v>
      </c>
      <c r="F28" s="14">
        <v>0.3</v>
      </c>
    </row>
    <row r="29" spans="3:7" x14ac:dyDescent="0.35">
      <c r="D29" t="s">
        <v>108</v>
      </c>
      <c r="E29" t="s">
        <v>60</v>
      </c>
      <c r="F29" s="14">
        <v>0.5</v>
      </c>
    </row>
    <row r="30" spans="3:7" x14ac:dyDescent="0.35">
      <c r="D30" t="s">
        <v>34</v>
      </c>
      <c r="E30" t="s">
        <v>60</v>
      </c>
      <c r="F30" s="14">
        <v>0.21</v>
      </c>
    </row>
    <row r="31" spans="3:7" x14ac:dyDescent="0.35">
      <c r="D31" t="s">
        <v>37</v>
      </c>
      <c r="F31" s="4" t="s">
        <v>38</v>
      </c>
    </row>
    <row r="32" spans="3:7" x14ac:dyDescent="0.35">
      <c r="D32" t="s">
        <v>39</v>
      </c>
      <c r="F32" s="4" t="s">
        <v>40</v>
      </c>
      <c r="G32" s="6">
        <v>15</v>
      </c>
    </row>
    <row r="33" spans="3:7" x14ac:dyDescent="0.35">
      <c r="F33" s="3"/>
    </row>
    <row r="34" spans="3:7" x14ac:dyDescent="0.35">
      <c r="C34" s="1" t="s">
        <v>21</v>
      </c>
      <c r="F34" s="3"/>
    </row>
    <row r="35" spans="3:7" x14ac:dyDescent="0.35">
      <c r="D35" t="s">
        <v>65</v>
      </c>
      <c r="E35" t="s">
        <v>132</v>
      </c>
      <c r="F35" s="5">
        <f>G35/10</f>
        <v>1.4</v>
      </c>
      <c r="G35" s="10">
        <v>14</v>
      </c>
    </row>
    <row r="36" spans="3:7" x14ac:dyDescent="0.35">
      <c r="D36" t="s">
        <v>45</v>
      </c>
      <c r="E36" t="s">
        <v>60</v>
      </c>
      <c r="F36" s="11">
        <v>7.0000000000000007E-2</v>
      </c>
    </row>
    <row r="37" spans="3:7" x14ac:dyDescent="0.35">
      <c r="D37" t="s">
        <v>22</v>
      </c>
      <c r="E37" t="s">
        <v>61</v>
      </c>
      <c r="F37" s="9">
        <v>7</v>
      </c>
    </row>
    <row r="38" spans="3:7" x14ac:dyDescent="0.35">
      <c r="D38" t="s">
        <v>32</v>
      </c>
      <c r="E38" t="s">
        <v>60</v>
      </c>
      <c r="F38" s="14">
        <v>0.99</v>
      </c>
    </row>
    <row r="39" spans="3:7" x14ac:dyDescent="0.35">
      <c r="D39" t="s">
        <v>33</v>
      </c>
      <c r="E39" t="s">
        <v>60</v>
      </c>
      <c r="F39" s="14">
        <v>0.01</v>
      </c>
    </row>
    <row r="40" spans="3:7" x14ac:dyDescent="0.35">
      <c r="D40" t="s">
        <v>23</v>
      </c>
      <c r="E40" t="s">
        <v>60</v>
      </c>
      <c r="F40" s="14">
        <v>0.2</v>
      </c>
    </row>
    <row r="41" spans="3:7" x14ac:dyDescent="0.35">
      <c r="D41" t="s">
        <v>24</v>
      </c>
      <c r="E41" t="s">
        <v>60</v>
      </c>
      <c r="F41" s="14">
        <v>0.05</v>
      </c>
    </row>
    <row r="42" spans="3:7" x14ac:dyDescent="0.35">
      <c r="F42" s="3"/>
    </row>
    <row r="43" spans="3:7" x14ac:dyDescent="0.35">
      <c r="C43" s="1" t="s">
        <v>25</v>
      </c>
      <c r="F43" s="3"/>
    </row>
    <row r="44" spans="3:7" x14ac:dyDescent="0.35">
      <c r="D44" t="s">
        <v>26</v>
      </c>
      <c r="E44" t="s">
        <v>18</v>
      </c>
      <c r="F44" s="9">
        <v>18</v>
      </c>
    </row>
    <row r="45" spans="3:7" x14ac:dyDescent="0.35">
      <c r="D45" t="s">
        <v>27</v>
      </c>
      <c r="E45" t="s">
        <v>62</v>
      </c>
      <c r="F45" s="11">
        <v>0.04</v>
      </c>
    </row>
    <row r="46" spans="3:7" x14ac:dyDescent="0.35">
      <c r="D46" t="s">
        <v>28</v>
      </c>
      <c r="E46" t="s">
        <v>63</v>
      </c>
      <c r="F46" s="9">
        <v>1.3</v>
      </c>
    </row>
    <row r="47" spans="3:7" x14ac:dyDescent="0.35">
      <c r="F47" s="3"/>
    </row>
    <row r="48" spans="3:7" x14ac:dyDescent="0.35">
      <c r="F48" s="4"/>
    </row>
    <row r="49" spans="4:13" x14ac:dyDescent="0.35">
      <c r="D49" t="s">
        <v>67</v>
      </c>
      <c r="F49">
        <v>5</v>
      </c>
    </row>
    <row r="50" spans="4:13" x14ac:dyDescent="0.35">
      <c r="G50" s="6">
        <v>0</v>
      </c>
      <c r="H50" s="6">
        <v>1</v>
      </c>
      <c r="I50" s="6">
        <v>2</v>
      </c>
      <c r="J50" s="6">
        <v>3</v>
      </c>
      <c r="K50" s="6">
        <v>4</v>
      </c>
      <c r="L50" s="6">
        <v>5</v>
      </c>
      <c r="M50" s="6">
        <v>6</v>
      </c>
    </row>
    <row r="51" spans="4:13" x14ac:dyDescent="0.35">
      <c r="D51" t="s">
        <v>66</v>
      </c>
      <c r="H51" s="8">
        <f>IFERROR(VDB(1,0,$F$49,G50,H50,2),0)</f>
        <v>0.4</v>
      </c>
      <c r="I51" s="8">
        <f t="shared" ref="I51:M51" si="0">IFERROR(VDB(1,0,$F$49,H50,I50,2),0)</f>
        <v>0.24</v>
      </c>
      <c r="J51" s="8">
        <f t="shared" si="0"/>
        <v>0.14399999999999999</v>
      </c>
      <c r="K51" s="8">
        <f t="shared" si="0"/>
        <v>0.108</v>
      </c>
      <c r="L51" s="8">
        <f t="shared" si="0"/>
        <v>0.108</v>
      </c>
      <c r="M51" s="8">
        <f t="shared" si="0"/>
        <v>0</v>
      </c>
    </row>
  </sheetData>
  <conditionalFormatting sqref="A1:XFD1048576">
    <cfRule type="expression" dxfId="37" priority="1">
      <formula>AND(A1&lt;&gt;"",A1=FALSE)</formula>
    </cfRule>
    <cfRule type="expression" dxfId="36" priority="2">
      <formula>A1=TRUE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6</xdr:col>
                    <xdr:colOff>127000</xdr:colOff>
                    <xdr:row>34</xdr:row>
                    <xdr:rowOff>12700</xdr:rowOff>
                  </from>
                  <to>
                    <xdr:col>6</xdr:col>
                    <xdr:colOff>393700</xdr:colOff>
                    <xdr:row>35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71C2-A723-4BC7-9400-42698FA99B22}">
  <sheetPr codeName="Sheet3"/>
  <dimension ref="B1:ALR46"/>
  <sheetViews>
    <sheetView showGridLines="0" zoomScale="80" zoomScaleNormal="80" workbookViewId="0">
      <pane xSplit="9" ySplit="8" topLeftCell="J9" activePane="bottomRight" state="frozen"/>
      <selection pane="topRight" activeCell="J1" sqref="J1"/>
      <selection pane="bottomLeft" activeCell="A10" sqref="A10"/>
      <selection pane="bottomRight" activeCell="J1" sqref="J1"/>
    </sheetView>
  </sheetViews>
  <sheetFormatPr defaultRowHeight="14.5" outlineLevelRow="1" x14ac:dyDescent="0.35"/>
  <cols>
    <col min="1" max="3" width="1.6328125" customWidth="1"/>
    <col min="4" max="4" width="26.90625" customWidth="1"/>
    <col min="5" max="8" width="10.36328125" customWidth="1"/>
    <col min="9" max="9" width="14.6328125" customWidth="1"/>
    <col min="10" max="10" width="13.6328125" bestFit="1" customWidth="1"/>
    <col min="11" max="45" width="11.90625" customWidth="1"/>
  </cols>
  <sheetData>
    <row r="1" spans="2:1006" s="29" customFormat="1" ht="29" x14ac:dyDescent="0.35">
      <c r="B1" s="29" t="s">
        <v>68</v>
      </c>
      <c r="E1" s="30" t="s">
        <v>88</v>
      </c>
      <c r="F1" s="30" t="s">
        <v>89</v>
      </c>
      <c r="G1" s="31" t="s">
        <v>83</v>
      </c>
      <c r="H1" s="31" t="s">
        <v>83</v>
      </c>
      <c r="I1" s="31" t="s">
        <v>84</v>
      </c>
    </row>
    <row r="2" spans="2:1006" s="29" customFormat="1" outlineLevel="1" x14ac:dyDescent="0.35">
      <c r="C2" s="29" t="s">
        <v>71</v>
      </c>
      <c r="J2" s="29">
        <v>0</v>
      </c>
      <c r="K2" s="29">
        <v>1</v>
      </c>
      <c r="L2" s="29">
        <v>2</v>
      </c>
      <c r="M2" s="29">
        <v>3</v>
      </c>
      <c r="N2" s="29">
        <v>4</v>
      </c>
      <c r="O2" s="29">
        <v>5</v>
      </c>
      <c r="P2" s="29">
        <v>6</v>
      </c>
      <c r="Q2" s="29">
        <v>7</v>
      </c>
      <c r="R2" s="29">
        <v>8</v>
      </c>
      <c r="S2" s="29">
        <v>9</v>
      </c>
      <c r="T2" s="29">
        <v>10</v>
      </c>
      <c r="U2" s="29">
        <v>11</v>
      </c>
      <c r="V2" s="29">
        <v>12</v>
      </c>
      <c r="W2" s="29">
        <v>13</v>
      </c>
      <c r="X2" s="29">
        <v>14</v>
      </c>
      <c r="Y2" s="29">
        <v>15</v>
      </c>
      <c r="Z2" s="29">
        <v>16</v>
      </c>
      <c r="AA2" s="29">
        <v>17</v>
      </c>
      <c r="AB2" s="29">
        <v>18</v>
      </c>
      <c r="AC2" s="29">
        <v>19</v>
      </c>
      <c r="AD2" s="29">
        <v>20</v>
      </c>
      <c r="AE2" s="29">
        <v>21</v>
      </c>
      <c r="AF2" s="29">
        <v>22</v>
      </c>
      <c r="AG2" s="29">
        <v>23</v>
      </c>
      <c r="AH2" s="29">
        <v>24</v>
      </c>
      <c r="AI2" s="29">
        <v>25</v>
      </c>
      <c r="AJ2" s="29">
        <v>26</v>
      </c>
      <c r="AK2" s="29">
        <v>27</v>
      </c>
      <c r="AL2" s="29">
        <v>28</v>
      </c>
      <c r="AM2" s="29">
        <v>29</v>
      </c>
      <c r="AN2" s="29">
        <v>30</v>
      </c>
      <c r="AO2" s="29">
        <v>31</v>
      </c>
      <c r="AP2" s="29">
        <v>32</v>
      </c>
      <c r="AQ2" s="29">
        <v>33</v>
      </c>
      <c r="AR2" s="29">
        <v>34</v>
      </c>
      <c r="AS2" s="29">
        <v>35</v>
      </c>
    </row>
    <row r="3" spans="2:1006" s="29" customFormat="1" outlineLevel="1" x14ac:dyDescent="0.35">
      <c r="C3" s="29" t="s">
        <v>69</v>
      </c>
      <c r="J3" s="32">
        <v>43831</v>
      </c>
      <c r="K3" s="32">
        <f>J4+1</f>
        <v>44197</v>
      </c>
      <c r="L3" s="32">
        <f t="shared" ref="L3:AS3" si="0">K4+1</f>
        <v>44562</v>
      </c>
      <c r="M3" s="32">
        <f t="shared" si="0"/>
        <v>44927</v>
      </c>
      <c r="N3" s="32">
        <f t="shared" si="0"/>
        <v>45292</v>
      </c>
      <c r="O3" s="32">
        <f t="shared" si="0"/>
        <v>45658</v>
      </c>
      <c r="P3" s="32">
        <f t="shared" si="0"/>
        <v>46023</v>
      </c>
      <c r="Q3" s="32">
        <f t="shared" si="0"/>
        <v>46388</v>
      </c>
      <c r="R3" s="32">
        <f t="shared" si="0"/>
        <v>46753</v>
      </c>
      <c r="S3" s="32">
        <f t="shared" si="0"/>
        <v>47119</v>
      </c>
      <c r="T3" s="32">
        <f t="shared" si="0"/>
        <v>47484</v>
      </c>
      <c r="U3" s="32">
        <f t="shared" si="0"/>
        <v>47849</v>
      </c>
      <c r="V3" s="32">
        <f t="shared" si="0"/>
        <v>48214</v>
      </c>
      <c r="W3" s="32">
        <f t="shared" si="0"/>
        <v>48580</v>
      </c>
      <c r="X3" s="32">
        <f t="shared" si="0"/>
        <v>48945</v>
      </c>
      <c r="Y3" s="32">
        <f t="shared" si="0"/>
        <v>49310</v>
      </c>
      <c r="Z3" s="32">
        <f t="shared" si="0"/>
        <v>49675</v>
      </c>
      <c r="AA3" s="32">
        <f t="shared" si="0"/>
        <v>50041</v>
      </c>
      <c r="AB3" s="32">
        <f t="shared" si="0"/>
        <v>50406</v>
      </c>
      <c r="AC3" s="32">
        <f t="shared" si="0"/>
        <v>50771</v>
      </c>
      <c r="AD3" s="32">
        <f t="shared" si="0"/>
        <v>51136</v>
      </c>
      <c r="AE3" s="32">
        <f t="shared" si="0"/>
        <v>51502</v>
      </c>
      <c r="AF3" s="32">
        <f t="shared" si="0"/>
        <v>51867</v>
      </c>
      <c r="AG3" s="32">
        <f t="shared" si="0"/>
        <v>52232</v>
      </c>
      <c r="AH3" s="32">
        <f t="shared" si="0"/>
        <v>52597</v>
      </c>
      <c r="AI3" s="32">
        <f t="shared" si="0"/>
        <v>52963</v>
      </c>
      <c r="AJ3" s="32">
        <f t="shared" si="0"/>
        <v>53328</v>
      </c>
      <c r="AK3" s="32">
        <f t="shared" si="0"/>
        <v>53693</v>
      </c>
      <c r="AL3" s="32">
        <f t="shared" si="0"/>
        <v>54058</v>
      </c>
      <c r="AM3" s="32">
        <f t="shared" si="0"/>
        <v>54424</v>
      </c>
      <c r="AN3" s="32">
        <f t="shared" si="0"/>
        <v>54789</v>
      </c>
      <c r="AO3" s="32">
        <f t="shared" si="0"/>
        <v>55154</v>
      </c>
      <c r="AP3" s="32">
        <f t="shared" si="0"/>
        <v>55519</v>
      </c>
      <c r="AQ3" s="32">
        <f t="shared" si="0"/>
        <v>55885</v>
      </c>
      <c r="AR3" s="32">
        <f t="shared" si="0"/>
        <v>56250</v>
      </c>
      <c r="AS3" s="32">
        <f t="shared" si="0"/>
        <v>56615</v>
      </c>
    </row>
    <row r="4" spans="2:1006" s="29" customFormat="1" outlineLevel="1" x14ac:dyDescent="0.35">
      <c r="C4" s="29" t="s">
        <v>70</v>
      </c>
      <c r="J4" s="32">
        <f>Inputs!$F$8</f>
        <v>44196</v>
      </c>
      <c r="K4" s="32">
        <f>EOMONTH(K3,11)</f>
        <v>44561</v>
      </c>
      <c r="L4" s="32">
        <f t="shared" ref="L4:AS4" si="1">EOMONTH(L3,11)</f>
        <v>44926</v>
      </c>
      <c r="M4" s="32">
        <f t="shared" si="1"/>
        <v>45291</v>
      </c>
      <c r="N4" s="32">
        <f t="shared" si="1"/>
        <v>45657</v>
      </c>
      <c r="O4" s="32">
        <f t="shared" si="1"/>
        <v>46022</v>
      </c>
      <c r="P4" s="32">
        <f t="shared" si="1"/>
        <v>46387</v>
      </c>
      <c r="Q4" s="32">
        <f t="shared" si="1"/>
        <v>46752</v>
      </c>
      <c r="R4" s="32">
        <f t="shared" si="1"/>
        <v>47118</v>
      </c>
      <c r="S4" s="32">
        <f t="shared" si="1"/>
        <v>47483</v>
      </c>
      <c r="T4" s="32">
        <f t="shared" si="1"/>
        <v>47848</v>
      </c>
      <c r="U4" s="32">
        <f t="shared" si="1"/>
        <v>48213</v>
      </c>
      <c r="V4" s="32">
        <f t="shared" si="1"/>
        <v>48579</v>
      </c>
      <c r="W4" s="32">
        <f t="shared" si="1"/>
        <v>48944</v>
      </c>
      <c r="X4" s="32">
        <f t="shared" si="1"/>
        <v>49309</v>
      </c>
      <c r="Y4" s="32">
        <f t="shared" si="1"/>
        <v>49674</v>
      </c>
      <c r="Z4" s="32">
        <f t="shared" si="1"/>
        <v>50040</v>
      </c>
      <c r="AA4" s="32">
        <f t="shared" si="1"/>
        <v>50405</v>
      </c>
      <c r="AB4" s="32">
        <f t="shared" si="1"/>
        <v>50770</v>
      </c>
      <c r="AC4" s="32">
        <f t="shared" si="1"/>
        <v>51135</v>
      </c>
      <c r="AD4" s="32">
        <f t="shared" si="1"/>
        <v>51501</v>
      </c>
      <c r="AE4" s="32">
        <f t="shared" si="1"/>
        <v>51866</v>
      </c>
      <c r="AF4" s="32">
        <f t="shared" si="1"/>
        <v>52231</v>
      </c>
      <c r="AG4" s="32">
        <f t="shared" si="1"/>
        <v>52596</v>
      </c>
      <c r="AH4" s="32">
        <f t="shared" si="1"/>
        <v>52962</v>
      </c>
      <c r="AI4" s="32">
        <f t="shared" si="1"/>
        <v>53327</v>
      </c>
      <c r="AJ4" s="32">
        <f t="shared" si="1"/>
        <v>53692</v>
      </c>
      <c r="AK4" s="32">
        <f t="shared" si="1"/>
        <v>54057</v>
      </c>
      <c r="AL4" s="32">
        <f t="shared" si="1"/>
        <v>54423</v>
      </c>
      <c r="AM4" s="32">
        <f t="shared" si="1"/>
        <v>54788</v>
      </c>
      <c r="AN4" s="32">
        <f t="shared" si="1"/>
        <v>55153</v>
      </c>
      <c r="AO4" s="32">
        <f t="shared" si="1"/>
        <v>55518</v>
      </c>
      <c r="AP4" s="32">
        <f t="shared" si="1"/>
        <v>55884</v>
      </c>
      <c r="AQ4" s="32">
        <f t="shared" si="1"/>
        <v>56249</v>
      </c>
      <c r="AR4" s="32">
        <f t="shared" si="1"/>
        <v>56614</v>
      </c>
      <c r="AS4" s="32">
        <f t="shared" si="1"/>
        <v>56979</v>
      </c>
    </row>
    <row r="5" spans="2:1006" s="29" customFormat="1" outlineLevel="1" x14ac:dyDescent="0.35"/>
    <row r="6" spans="2:1006" s="29" customFormat="1" outlineLevel="1" x14ac:dyDescent="0.35">
      <c r="C6" s="29" t="s">
        <v>72</v>
      </c>
      <c r="E6" s="29" t="s">
        <v>73</v>
      </c>
      <c r="G6" s="29">
        <f>Inputs!F12</f>
        <v>20</v>
      </c>
      <c r="I6" s="29">
        <f>SUM(J6:XFD6)</f>
        <v>20</v>
      </c>
      <c r="J6" s="29">
        <f t="shared" ref="J6:AS6" si="2">AND(J2&gt;0,J2&lt;=$G$6)*1</f>
        <v>0</v>
      </c>
      <c r="K6" s="29">
        <f t="shared" si="2"/>
        <v>1</v>
      </c>
      <c r="L6" s="29">
        <f t="shared" si="2"/>
        <v>1</v>
      </c>
      <c r="M6" s="29">
        <f t="shared" si="2"/>
        <v>1</v>
      </c>
      <c r="N6" s="29">
        <f t="shared" si="2"/>
        <v>1</v>
      </c>
      <c r="O6" s="29">
        <f t="shared" si="2"/>
        <v>1</v>
      </c>
      <c r="P6" s="29">
        <f t="shared" si="2"/>
        <v>1</v>
      </c>
      <c r="Q6" s="29">
        <f t="shared" si="2"/>
        <v>1</v>
      </c>
      <c r="R6" s="29">
        <f t="shared" si="2"/>
        <v>1</v>
      </c>
      <c r="S6" s="29">
        <f t="shared" si="2"/>
        <v>1</v>
      </c>
      <c r="T6" s="29">
        <f t="shared" si="2"/>
        <v>1</v>
      </c>
      <c r="U6" s="29">
        <f t="shared" si="2"/>
        <v>1</v>
      </c>
      <c r="V6" s="29">
        <f t="shared" si="2"/>
        <v>1</v>
      </c>
      <c r="W6" s="29">
        <f t="shared" si="2"/>
        <v>1</v>
      </c>
      <c r="X6" s="29">
        <f t="shared" si="2"/>
        <v>1</v>
      </c>
      <c r="Y6" s="29">
        <f t="shared" si="2"/>
        <v>1</v>
      </c>
      <c r="Z6" s="29">
        <f t="shared" si="2"/>
        <v>1</v>
      </c>
      <c r="AA6" s="29">
        <f t="shared" si="2"/>
        <v>1</v>
      </c>
      <c r="AB6" s="29">
        <f t="shared" si="2"/>
        <v>1</v>
      </c>
      <c r="AC6" s="29">
        <f t="shared" si="2"/>
        <v>1</v>
      </c>
      <c r="AD6" s="29">
        <f t="shared" si="2"/>
        <v>1</v>
      </c>
      <c r="AE6" s="29">
        <f t="shared" si="2"/>
        <v>0</v>
      </c>
      <c r="AF6" s="29">
        <f t="shared" si="2"/>
        <v>0</v>
      </c>
      <c r="AG6" s="29">
        <f t="shared" si="2"/>
        <v>0</v>
      </c>
      <c r="AH6" s="29">
        <f t="shared" si="2"/>
        <v>0</v>
      </c>
      <c r="AI6" s="29">
        <f t="shared" si="2"/>
        <v>0</v>
      </c>
      <c r="AJ6" s="29">
        <f t="shared" si="2"/>
        <v>0</v>
      </c>
      <c r="AK6" s="29">
        <f t="shared" si="2"/>
        <v>0</v>
      </c>
      <c r="AL6" s="29">
        <f t="shared" si="2"/>
        <v>0</v>
      </c>
      <c r="AM6" s="29">
        <f t="shared" si="2"/>
        <v>0</v>
      </c>
      <c r="AN6" s="29">
        <f t="shared" si="2"/>
        <v>0</v>
      </c>
      <c r="AO6" s="29">
        <f t="shared" si="2"/>
        <v>0</v>
      </c>
      <c r="AP6" s="29">
        <f t="shared" si="2"/>
        <v>0</v>
      </c>
      <c r="AQ6" s="29">
        <f t="shared" si="2"/>
        <v>0</v>
      </c>
      <c r="AR6" s="29">
        <f t="shared" si="2"/>
        <v>0</v>
      </c>
      <c r="AS6" s="29">
        <f t="shared" si="2"/>
        <v>0</v>
      </c>
    </row>
    <row r="7" spans="2:1006" s="29" customFormat="1" outlineLevel="1" x14ac:dyDescent="0.35">
      <c r="C7" s="29" t="s">
        <v>74</v>
      </c>
      <c r="E7" s="29" t="s">
        <v>73</v>
      </c>
      <c r="G7" s="29">
        <f>G6+1</f>
        <v>21</v>
      </c>
      <c r="H7" s="29">
        <f>Inputs!F6</f>
        <v>35</v>
      </c>
      <c r="I7" s="29">
        <f>SUM(J7:XFD7)</f>
        <v>15</v>
      </c>
      <c r="J7" s="29">
        <f t="shared" ref="J7:AS7" si="3">(AND(J2&gt;=$G$7,J2&lt;=$H$7))*1</f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29">
        <f t="shared" si="3"/>
        <v>0</v>
      </c>
      <c r="P7" s="29">
        <f t="shared" si="3"/>
        <v>0</v>
      </c>
      <c r="Q7" s="29">
        <f t="shared" si="3"/>
        <v>0</v>
      </c>
      <c r="R7" s="29">
        <f t="shared" si="3"/>
        <v>0</v>
      </c>
      <c r="S7" s="29">
        <f t="shared" si="3"/>
        <v>0</v>
      </c>
      <c r="T7" s="29">
        <f t="shared" si="3"/>
        <v>0</v>
      </c>
      <c r="U7" s="29">
        <f t="shared" si="3"/>
        <v>0</v>
      </c>
      <c r="V7" s="29">
        <f t="shared" si="3"/>
        <v>0</v>
      </c>
      <c r="W7" s="29">
        <f t="shared" si="3"/>
        <v>0</v>
      </c>
      <c r="X7" s="29">
        <f t="shared" si="3"/>
        <v>0</v>
      </c>
      <c r="Y7" s="29">
        <f t="shared" si="3"/>
        <v>0</v>
      </c>
      <c r="Z7" s="29">
        <f t="shared" si="3"/>
        <v>0</v>
      </c>
      <c r="AA7" s="29">
        <f t="shared" si="3"/>
        <v>0</v>
      </c>
      <c r="AB7" s="29">
        <f t="shared" si="3"/>
        <v>0</v>
      </c>
      <c r="AC7" s="29">
        <f t="shared" si="3"/>
        <v>0</v>
      </c>
      <c r="AD7" s="29">
        <f t="shared" si="3"/>
        <v>0</v>
      </c>
      <c r="AE7" s="29">
        <f t="shared" si="3"/>
        <v>1</v>
      </c>
      <c r="AF7" s="29">
        <f t="shared" si="3"/>
        <v>1</v>
      </c>
      <c r="AG7" s="29">
        <f t="shared" si="3"/>
        <v>1</v>
      </c>
      <c r="AH7" s="29">
        <f t="shared" si="3"/>
        <v>1</v>
      </c>
      <c r="AI7" s="29">
        <f t="shared" si="3"/>
        <v>1</v>
      </c>
      <c r="AJ7" s="29">
        <f t="shared" si="3"/>
        <v>1</v>
      </c>
      <c r="AK7" s="29">
        <f t="shared" si="3"/>
        <v>1</v>
      </c>
      <c r="AL7" s="29">
        <f t="shared" si="3"/>
        <v>1</v>
      </c>
      <c r="AM7" s="29">
        <f t="shared" si="3"/>
        <v>1</v>
      </c>
      <c r="AN7" s="29">
        <f t="shared" si="3"/>
        <v>1</v>
      </c>
      <c r="AO7" s="29">
        <f t="shared" si="3"/>
        <v>1</v>
      </c>
      <c r="AP7" s="29">
        <f t="shared" si="3"/>
        <v>1</v>
      </c>
      <c r="AQ7" s="29">
        <f t="shared" si="3"/>
        <v>1</v>
      </c>
      <c r="AR7" s="29">
        <f t="shared" si="3"/>
        <v>1</v>
      </c>
      <c r="AS7" s="29">
        <f t="shared" si="3"/>
        <v>1</v>
      </c>
    </row>
    <row r="8" spans="2:1006" s="29" customFormat="1" outlineLevel="1" x14ac:dyDescent="0.35">
      <c r="C8" s="29" t="s">
        <v>75</v>
      </c>
      <c r="E8" s="29" t="s">
        <v>73</v>
      </c>
      <c r="I8" s="29">
        <f>SUM(J8:XFD8)</f>
        <v>35</v>
      </c>
      <c r="J8" s="29">
        <f>(OR(J6,J7))*1</f>
        <v>0</v>
      </c>
      <c r="K8" s="29">
        <f t="shared" ref="K8:AS8" si="4">(OR(K6,K7))*1</f>
        <v>1</v>
      </c>
      <c r="L8" s="29">
        <f t="shared" si="4"/>
        <v>1</v>
      </c>
      <c r="M8" s="29">
        <f t="shared" si="4"/>
        <v>1</v>
      </c>
      <c r="N8" s="29">
        <f t="shared" si="4"/>
        <v>1</v>
      </c>
      <c r="O8" s="29">
        <f t="shared" si="4"/>
        <v>1</v>
      </c>
      <c r="P8" s="29">
        <f t="shared" si="4"/>
        <v>1</v>
      </c>
      <c r="Q8" s="29">
        <f t="shared" si="4"/>
        <v>1</v>
      </c>
      <c r="R8" s="29">
        <f t="shared" si="4"/>
        <v>1</v>
      </c>
      <c r="S8" s="29">
        <f t="shared" si="4"/>
        <v>1</v>
      </c>
      <c r="T8" s="29">
        <f t="shared" si="4"/>
        <v>1</v>
      </c>
      <c r="U8" s="29">
        <f t="shared" si="4"/>
        <v>1</v>
      </c>
      <c r="V8" s="29">
        <f t="shared" si="4"/>
        <v>1</v>
      </c>
      <c r="W8" s="29">
        <f t="shared" si="4"/>
        <v>1</v>
      </c>
      <c r="X8" s="29">
        <f t="shared" si="4"/>
        <v>1</v>
      </c>
      <c r="Y8" s="29">
        <f t="shared" si="4"/>
        <v>1</v>
      </c>
      <c r="Z8" s="29">
        <f t="shared" si="4"/>
        <v>1</v>
      </c>
      <c r="AA8" s="29">
        <f t="shared" si="4"/>
        <v>1</v>
      </c>
      <c r="AB8" s="29">
        <f t="shared" si="4"/>
        <v>1</v>
      </c>
      <c r="AC8" s="29">
        <f t="shared" si="4"/>
        <v>1</v>
      </c>
      <c r="AD8" s="29">
        <f t="shared" si="4"/>
        <v>1</v>
      </c>
      <c r="AE8" s="29">
        <f t="shared" si="4"/>
        <v>1</v>
      </c>
      <c r="AF8" s="29">
        <f t="shared" si="4"/>
        <v>1</v>
      </c>
      <c r="AG8" s="29">
        <f t="shared" si="4"/>
        <v>1</v>
      </c>
      <c r="AH8" s="29">
        <f t="shared" si="4"/>
        <v>1</v>
      </c>
      <c r="AI8" s="29">
        <f t="shared" si="4"/>
        <v>1</v>
      </c>
      <c r="AJ8" s="29">
        <f t="shared" si="4"/>
        <v>1</v>
      </c>
      <c r="AK8" s="29">
        <f t="shared" si="4"/>
        <v>1</v>
      </c>
      <c r="AL8" s="29">
        <f t="shared" si="4"/>
        <v>1</v>
      </c>
      <c r="AM8" s="29">
        <f t="shared" si="4"/>
        <v>1</v>
      </c>
      <c r="AN8" s="29">
        <f t="shared" si="4"/>
        <v>1</v>
      </c>
      <c r="AO8" s="29">
        <f t="shared" si="4"/>
        <v>1</v>
      </c>
      <c r="AP8" s="29">
        <f t="shared" si="4"/>
        <v>1</v>
      </c>
      <c r="AQ8" s="29">
        <f t="shared" si="4"/>
        <v>1</v>
      </c>
      <c r="AR8" s="29">
        <f t="shared" si="4"/>
        <v>1</v>
      </c>
      <c r="AS8" s="29">
        <f t="shared" si="4"/>
        <v>1</v>
      </c>
    </row>
    <row r="9" spans="2:1006" outlineLevel="1" x14ac:dyDescent="0.35"/>
    <row r="10" spans="2:1006" x14ac:dyDescent="0.35">
      <c r="B10" s="28" t="s">
        <v>64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</row>
    <row r="11" spans="2:1006" outlineLevel="1" x14ac:dyDescent="0.35">
      <c r="C11" t="s">
        <v>76</v>
      </c>
      <c r="E11" t="s">
        <v>78</v>
      </c>
      <c r="F11" t="s">
        <v>78</v>
      </c>
      <c r="G11" s="24">
        <f>Inputs!F4</f>
        <v>100</v>
      </c>
      <c r="J11" s="15">
        <f>$G$11*J8</f>
        <v>0</v>
      </c>
      <c r="K11" s="15">
        <f t="shared" ref="K11:AS11" si="5">$G$11*K8</f>
        <v>100</v>
      </c>
      <c r="L11" s="15">
        <f t="shared" si="5"/>
        <v>100</v>
      </c>
      <c r="M11" s="15">
        <f t="shared" si="5"/>
        <v>100</v>
      </c>
      <c r="N11" s="15">
        <f t="shared" si="5"/>
        <v>100</v>
      </c>
      <c r="O11" s="15">
        <f t="shared" si="5"/>
        <v>100</v>
      </c>
      <c r="P11" s="15">
        <f t="shared" si="5"/>
        <v>100</v>
      </c>
      <c r="Q11" s="15">
        <f t="shared" si="5"/>
        <v>100</v>
      </c>
      <c r="R11" s="15">
        <f t="shared" si="5"/>
        <v>100</v>
      </c>
      <c r="S11" s="15">
        <f t="shared" si="5"/>
        <v>100</v>
      </c>
      <c r="T11" s="15">
        <f t="shared" si="5"/>
        <v>100</v>
      </c>
      <c r="U11" s="15">
        <f t="shared" si="5"/>
        <v>100</v>
      </c>
      <c r="V11" s="15">
        <f t="shared" si="5"/>
        <v>100</v>
      </c>
      <c r="W11" s="15">
        <f t="shared" si="5"/>
        <v>100</v>
      </c>
      <c r="X11" s="15">
        <f t="shared" si="5"/>
        <v>100</v>
      </c>
      <c r="Y11" s="15">
        <f t="shared" si="5"/>
        <v>100</v>
      </c>
      <c r="Z11" s="15">
        <f t="shared" si="5"/>
        <v>100</v>
      </c>
      <c r="AA11" s="15">
        <f t="shared" si="5"/>
        <v>100</v>
      </c>
      <c r="AB11" s="15">
        <f t="shared" si="5"/>
        <v>100</v>
      </c>
      <c r="AC11" s="15">
        <f t="shared" si="5"/>
        <v>100</v>
      </c>
      <c r="AD11" s="15">
        <f t="shared" si="5"/>
        <v>100</v>
      </c>
      <c r="AE11" s="15">
        <f t="shared" si="5"/>
        <v>100</v>
      </c>
      <c r="AF11" s="15">
        <f t="shared" si="5"/>
        <v>100</v>
      </c>
      <c r="AG11" s="15">
        <f t="shared" si="5"/>
        <v>100</v>
      </c>
      <c r="AH11" s="15">
        <f t="shared" si="5"/>
        <v>100</v>
      </c>
      <c r="AI11" s="15">
        <f t="shared" si="5"/>
        <v>100</v>
      </c>
      <c r="AJ11" s="15">
        <f t="shared" si="5"/>
        <v>100</v>
      </c>
      <c r="AK11" s="15">
        <f t="shared" si="5"/>
        <v>100</v>
      </c>
      <c r="AL11" s="15">
        <f t="shared" si="5"/>
        <v>100</v>
      </c>
      <c r="AM11" s="15">
        <f t="shared" si="5"/>
        <v>100</v>
      </c>
      <c r="AN11" s="15">
        <f t="shared" si="5"/>
        <v>100</v>
      </c>
      <c r="AO11" s="15">
        <f t="shared" si="5"/>
        <v>100</v>
      </c>
      <c r="AP11" s="15">
        <f t="shared" si="5"/>
        <v>100</v>
      </c>
      <c r="AQ11" s="15">
        <f t="shared" si="5"/>
        <v>100</v>
      </c>
      <c r="AR11" s="15">
        <f t="shared" si="5"/>
        <v>100</v>
      </c>
      <c r="AS11" s="15">
        <f t="shared" si="5"/>
        <v>100</v>
      </c>
    </row>
    <row r="12" spans="2:1006" outlineLevel="1" x14ac:dyDescent="0.35">
      <c r="C12" t="s">
        <v>76</v>
      </c>
      <c r="E12" t="s">
        <v>77</v>
      </c>
      <c r="F12" t="s">
        <v>77</v>
      </c>
      <c r="G12" s="15">
        <f>G11*1000</f>
        <v>100000</v>
      </c>
      <c r="J12" s="15">
        <f>$G$12*J8</f>
        <v>0</v>
      </c>
      <c r="K12" s="15">
        <f t="shared" ref="K12:AS12" si="6">$G$12*K8</f>
        <v>100000</v>
      </c>
      <c r="L12" s="15">
        <f t="shared" si="6"/>
        <v>100000</v>
      </c>
      <c r="M12" s="15">
        <f t="shared" si="6"/>
        <v>100000</v>
      </c>
      <c r="N12" s="15">
        <f t="shared" si="6"/>
        <v>100000</v>
      </c>
      <c r="O12" s="15">
        <f t="shared" si="6"/>
        <v>100000</v>
      </c>
      <c r="P12" s="15">
        <f t="shared" si="6"/>
        <v>100000</v>
      </c>
      <c r="Q12" s="15">
        <f t="shared" si="6"/>
        <v>100000</v>
      </c>
      <c r="R12" s="15">
        <f t="shared" si="6"/>
        <v>100000</v>
      </c>
      <c r="S12" s="15">
        <f t="shared" si="6"/>
        <v>100000</v>
      </c>
      <c r="T12" s="15">
        <f t="shared" si="6"/>
        <v>100000</v>
      </c>
      <c r="U12" s="15">
        <f t="shared" si="6"/>
        <v>100000</v>
      </c>
      <c r="V12" s="15">
        <f t="shared" si="6"/>
        <v>100000</v>
      </c>
      <c r="W12" s="15">
        <f t="shared" si="6"/>
        <v>100000</v>
      </c>
      <c r="X12" s="15">
        <f t="shared" si="6"/>
        <v>100000</v>
      </c>
      <c r="Y12" s="15">
        <f t="shared" si="6"/>
        <v>100000</v>
      </c>
      <c r="Z12" s="15">
        <f t="shared" si="6"/>
        <v>100000</v>
      </c>
      <c r="AA12" s="15">
        <f t="shared" si="6"/>
        <v>100000</v>
      </c>
      <c r="AB12" s="15">
        <f t="shared" si="6"/>
        <v>100000</v>
      </c>
      <c r="AC12" s="15">
        <f t="shared" si="6"/>
        <v>100000</v>
      </c>
      <c r="AD12" s="15">
        <f t="shared" si="6"/>
        <v>100000</v>
      </c>
      <c r="AE12" s="15">
        <f t="shared" si="6"/>
        <v>100000</v>
      </c>
      <c r="AF12" s="15">
        <f t="shared" si="6"/>
        <v>100000</v>
      </c>
      <c r="AG12" s="15">
        <f t="shared" si="6"/>
        <v>100000</v>
      </c>
      <c r="AH12" s="15">
        <f t="shared" si="6"/>
        <v>100000</v>
      </c>
      <c r="AI12" s="15">
        <f t="shared" si="6"/>
        <v>100000</v>
      </c>
      <c r="AJ12" s="15">
        <f t="shared" si="6"/>
        <v>100000</v>
      </c>
      <c r="AK12" s="15">
        <f t="shared" si="6"/>
        <v>100000</v>
      </c>
      <c r="AL12" s="15">
        <f t="shared" si="6"/>
        <v>100000</v>
      </c>
      <c r="AM12" s="15">
        <f t="shared" si="6"/>
        <v>100000</v>
      </c>
      <c r="AN12" s="15">
        <f t="shared" si="6"/>
        <v>100000</v>
      </c>
      <c r="AO12" s="15">
        <f t="shared" si="6"/>
        <v>100000</v>
      </c>
      <c r="AP12" s="15">
        <f t="shared" si="6"/>
        <v>100000</v>
      </c>
      <c r="AQ12" s="15">
        <f t="shared" si="6"/>
        <v>100000</v>
      </c>
      <c r="AR12" s="15">
        <f t="shared" si="6"/>
        <v>100000</v>
      </c>
      <c r="AS12" s="15">
        <f t="shared" si="6"/>
        <v>100000</v>
      </c>
    </row>
    <row r="13" spans="2:1006" outlineLevel="1" x14ac:dyDescent="0.35"/>
    <row r="14" spans="2:1006" outlineLevel="1" x14ac:dyDescent="0.35">
      <c r="C14" t="s">
        <v>1</v>
      </c>
      <c r="E14" t="s">
        <v>79</v>
      </c>
      <c r="F14" t="s">
        <v>79</v>
      </c>
      <c r="G14" s="24">
        <f>Inputs!F5</f>
        <v>1750</v>
      </c>
      <c r="J14" s="15">
        <f>$G$14</f>
        <v>1750</v>
      </c>
      <c r="K14" s="15">
        <f t="shared" ref="K14:AS14" si="7">$G$14</f>
        <v>1750</v>
      </c>
      <c r="L14" s="15">
        <f t="shared" si="7"/>
        <v>1750</v>
      </c>
      <c r="M14" s="15">
        <f t="shared" si="7"/>
        <v>1750</v>
      </c>
      <c r="N14" s="15">
        <f t="shared" si="7"/>
        <v>1750</v>
      </c>
      <c r="O14" s="15">
        <f t="shared" si="7"/>
        <v>1750</v>
      </c>
      <c r="P14" s="15">
        <f t="shared" si="7"/>
        <v>1750</v>
      </c>
      <c r="Q14" s="15">
        <f t="shared" si="7"/>
        <v>1750</v>
      </c>
      <c r="R14" s="15">
        <f t="shared" si="7"/>
        <v>1750</v>
      </c>
      <c r="S14" s="15">
        <f t="shared" si="7"/>
        <v>1750</v>
      </c>
      <c r="T14" s="15">
        <f t="shared" si="7"/>
        <v>1750</v>
      </c>
      <c r="U14" s="15">
        <f t="shared" si="7"/>
        <v>1750</v>
      </c>
      <c r="V14" s="15">
        <f t="shared" si="7"/>
        <v>1750</v>
      </c>
      <c r="W14" s="15">
        <f t="shared" si="7"/>
        <v>1750</v>
      </c>
      <c r="X14" s="15">
        <f t="shared" si="7"/>
        <v>1750</v>
      </c>
      <c r="Y14" s="15">
        <f t="shared" si="7"/>
        <v>1750</v>
      </c>
      <c r="Z14" s="15">
        <f t="shared" si="7"/>
        <v>1750</v>
      </c>
      <c r="AA14" s="15">
        <f t="shared" si="7"/>
        <v>1750</v>
      </c>
      <c r="AB14" s="15">
        <f t="shared" si="7"/>
        <v>1750</v>
      </c>
      <c r="AC14" s="15">
        <f t="shared" si="7"/>
        <v>1750</v>
      </c>
      <c r="AD14" s="15">
        <f t="shared" si="7"/>
        <v>1750</v>
      </c>
      <c r="AE14" s="15">
        <f t="shared" si="7"/>
        <v>1750</v>
      </c>
      <c r="AF14" s="15">
        <f t="shared" si="7"/>
        <v>1750</v>
      </c>
      <c r="AG14" s="15">
        <f t="shared" si="7"/>
        <v>1750</v>
      </c>
      <c r="AH14" s="15">
        <f t="shared" si="7"/>
        <v>1750</v>
      </c>
      <c r="AI14" s="15">
        <f t="shared" si="7"/>
        <v>1750</v>
      </c>
      <c r="AJ14" s="15">
        <f t="shared" si="7"/>
        <v>1750</v>
      </c>
      <c r="AK14" s="15">
        <f t="shared" si="7"/>
        <v>1750</v>
      </c>
      <c r="AL14" s="15">
        <f t="shared" si="7"/>
        <v>1750</v>
      </c>
      <c r="AM14" s="15">
        <f t="shared" si="7"/>
        <v>1750</v>
      </c>
      <c r="AN14" s="15">
        <f t="shared" si="7"/>
        <v>1750</v>
      </c>
      <c r="AO14" s="15">
        <f t="shared" si="7"/>
        <v>1750</v>
      </c>
      <c r="AP14" s="15">
        <f t="shared" si="7"/>
        <v>1750</v>
      </c>
      <c r="AQ14" s="15">
        <f t="shared" si="7"/>
        <v>1750</v>
      </c>
      <c r="AR14" s="15">
        <f t="shared" si="7"/>
        <v>1750</v>
      </c>
      <c r="AS14" s="15">
        <f t="shared" si="7"/>
        <v>1750</v>
      </c>
    </row>
    <row r="15" spans="2:1006" outlineLevel="1" x14ac:dyDescent="0.35">
      <c r="C15" t="s">
        <v>80</v>
      </c>
      <c r="E15" t="s">
        <v>81</v>
      </c>
      <c r="I15" s="21">
        <f>SUM(J15:XFD15)</f>
        <v>6125000</v>
      </c>
      <c r="J15" s="15">
        <f>J14*J11</f>
        <v>0</v>
      </c>
      <c r="K15" s="15">
        <f t="shared" ref="K15:AS15" si="8">K14*K11</f>
        <v>175000</v>
      </c>
      <c r="L15" s="15">
        <f t="shared" si="8"/>
        <v>175000</v>
      </c>
      <c r="M15" s="15">
        <f t="shared" si="8"/>
        <v>175000</v>
      </c>
      <c r="N15" s="15">
        <f t="shared" si="8"/>
        <v>175000</v>
      </c>
      <c r="O15" s="15">
        <f t="shared" si="8"/>
        <v>175000</v>
      </c>
      <c r="P15" s="15">
        <f t="shared" si="8"/>
        <v>175000</v>
      </c>
      <c r="Q15" s="15">
        <f t="shared" si="8"/>
        <v>175000</v>
      </c>
      <c r="R15" s="15">
        <f t="shared" si="8"/>
        <v>175000</v>
      </c>
      <c r="S15" s="15">
        <f t="shared" si="8"/>
        <v>175000</v>
      </c>
      <c r="T15" s="15">
        <f t="shared" si="8"/>
        <v>175000</v>
      </c>
      <c r="U15" s="15">
        <f t="shared" si="8"/>
        <v>175000</v>
      </c>
      <c r="V15" s="15">
        <f t="shared" si="8"/>
        <v>175000</v>
      </c>
      <c r="W15" s="15">
        <f t="shared" si="8"/>
        <v>175000</v>
      </c>
      <c r="X15" s="15">
        <f t="shared" si="8"/>
        <v>175000</v>
      </c>
      <c r="Y15" s="15">
        <f t="shared" si="8"/>
        <v>175000</v>
      </c>
      <c r="Z15" s="15">
        <f t="shared" si="8"/>
        <v>175000</v>
      </c>
      <c r="AA15" s="15">
        <f t="shared" si="8"/>
        <v>175000</v>
      </c>
      <c r="AB15" s="15">
        <f t="shared" si="8"/>
        <v>175000</v>
      </c>
      <c r="AC15" s="15">
        <f t="shared" si="8"/>
        <v>175000</v>
      </c>
      <c r="AD15" s="15">
        <f t="shared" si="8"/>
        <v>175000</v>
      </c>
      <c r="AE15" s="15">
        <f t="shared" si="8"/>
        <v>175000</v>
      </c>
      <c r="AF15" s="15">
        <f t="shared" si="8"/>
        <v>175000</v>
      </c>
      <c r="AG15" s="15">
        <f t="shared" si="8"/>
        <v>175000</v>
      </c>
      <c r="AH15" s="15">
        <f t="shared" si="8"/>
        <v>175000</v>
      </c>
      <c r="AI15" s="15">
        <f t="shared" si="8"/>
        <v>175000</v>
      </c>
      <c r="AJ15" s="15">
        <f t="shared" si="8"/>
        <v>175000</v>
      </c>
      <c r="AK15" s="15">
        <f t="shared" si="8"/>
        <v>175000</v>
      </c>
      <c r="AL15" s="15">
        <f t="shared" si="8"/>
        <v>175000</v>
      </c>
      <c r="AM15" s="15">
        <f t="shared" si="8"/>
        <v>175000</v>
      </c>
      <c r="AN15" s="15">
        <f t="shared" si="8"/>
        <v>175000</v>
      </c>
      <c r="AO15" s="15">
        <f t="shared" si="8"/>
        <v>175000</v>
      </c>
      <c r="AP15" s="15">
        <f t="shared" si="8"/>
        <v>175000</v>
      </c>
      <c r="AQ15" s="15">
        <f t="shared" si="8"/>
        <v>175000</v>
      </c>
      <c r="AR15" s="15">
        <f t="shared" si="8"/>
        <v>175000</v>
      </c>
      <c r="AS15" s="15">
        <f t="shared" si="8"/>
        <v>175000</v>
      </c>
    </row>
    <row r="16" spans="2:1006" outlineLevel="1" x14ac:dyDescent="0.35"/>
    <row r="17" spans="2:1006" outlineLevel="1" x14ac:dyDescent="0.35">
      <c r="C17" t="s">
        <v>3</v>
      </c>
      <c r="E17" t="s">
        <v>82</v>
      </c>
      <c r="F17" t="s">
        <v>62</v>
      </c>
      <c r="G17" s="25">
        <f>Inputs!F7</f>
        <v>5.0000000000000001E-3</v>
      </c>
      <c r="J17" s="9">
        <v>1</v>
      </c>
      <c r="K17" s="17">
        <f t="shared" ref="K17:AS17" si="9">J17*(1-$G$17)</f>
        <v>0.995</v>
      </c>
      <c r="L17" s="17">
        <f t="shared" si="9"/>
        <v>0.99002500000000004</v>
      </c>
      <c r="M17" s="17">
        <f t="shared" si="9"/>
        <v>0.98507487500000002</v>
      </c>
      <c r="N17" s="17">
        <f t="shared" si="9"/>
        <v>0.98014950062500006</v>
      </c>
      <c r="O17" s="17">
        <f t="shared" si="9"/>
        <v>0.97524875312187509</v>
      </c>
      <c r="P17" s="17">
        <f t="shared" si="9"/>
        <v>0.97037250935626573</v>
      </c>
      <c r="Q17" s="17">
        <f t="shared" si="9"/>
        <v>0.96552064680948435</v>
      </c>
      <c r="R17" s="17">
        <f t="shared" si="9"/>
        <v>0.96069304357543694</v>
      </c>
      <c r="S17" s="17">
        <f t="shared" si="9"/>
        <v>0.95588957835755972</v>
      </c>
      <c r="T17" s="17">
        <f t="shared" si="9"/>
        <v>0.95111013046577186</v>
      </c>
      <c r="U17" s="17">
        <f t="shared" si="9"/>
        <v>0.94635457981344295</v>
      </c>
      <c r="V17" s="17">
        <f t="shared" si="9"/>
        <v>0.94162280691437572</v>
      </c>
      <c r="W17" s="17">
        <f t="shared" si="9"/>
        <v>0.93691469287980389</v>
      </c>
      <c r="X17" s="17">
        <f t="shared" si="9"/>
        <v>0.9322301194154049</v>
      </c>
      <c r="Y17" s="17">
        <f t="shared" si="9"/>
        <v>0.92756896881832784</v>
      </c>
      <c r="Z17" s="17">
        <f t="shared" si="9"/>
        <v>0.92293112397423616</v>
      </c>
      <c r="AA17" s="17">
        <f t="shared" si="9"/>
        <v>0.91831646835436498</v>
      </c>
      <c r="AB17" s="17">
        <f t="shared" si="9"/>
        <v>0.91372488601259316</v>
      </c>
      <c r="AC17" s="17">
        <f t="shared" si="9"/>
        <v>0.90915626158253016</v>
      </c>
      <c r="AD17" s="17">
        <f t="shared" si="9"/>
        <v>0.90461048027461755</v>
      </c>
      <c r="AE17" s="17">
        <f t="shared" si="9"/>
        <v>0.90008742787324447</v>
      </c>
      <c r="AF17" s="17">
        <f t="shared" si="9"/>
        <v>0.89558699073387826</v>
      </c>
      <c r="AG17" s="17">
        <f t="shared" si="9"/>
        <v>0.89110905578020883</v>
      </c>
      <c r="AH17" s="17">
        <f t="shared" si="9"/>
        <v>0.88665351050130781</v>
      </c>
      <c r="AI17" s="17">
        <f t="shared" si="9"/>
        <v>0.8822202429488013</v>
      </c>
      <c r="AJ17" s="17">
        <f t="shared" si="9"/>
        <v>0.87780914173405733</v>
      </c>
      <c r="AK17" s="17">
        <f t="shared" si="9"/>
        <v>0.87342009602538706</v>
      </c>
      <c r="AL17" s="17">
        <f t="shared" si="9"/>
        <v>0.86905299554526017</v>
      </c>
      <c r="AM17" s="17">
        <f t="shared" si="9"/>
        <v>0.86470773056753381</v>
      </c>
      <c r="AN17" s="17">
        <f t="shared" si="9"/>
        <v>0.86038419191469617</v>
      </c>
      <c r="AO17" s="17">
        <f t="shared" si="9"/>
        <v>0.85608227095512268</v>
      </c>
      <c r="AP17" s="17">
        <f t="shared" si="9"/>
        <v>0.85180185960034704</v>
      </c>
      <c r="AQ17" s="17">
        <f t="shared" si="9"/>
        <v>0.84754285030234533</v>
      </c>
      <c r="AR17" s="17">
        <f t="shared" si="9"/>
        <v>0.84330513605083357</v>
      </c>
      <c r="AS17" s="17">
        <f t="shared" si="9"/>
        <v>0.83908861037057936</v>
      </c>
    </row>
    <row r="18" spans="2:1006" outlineLevel="1" x14ac:dyDescent="0.35">
      <c r="C18" t="s">
        <v>85</v>
      </c>
      <c r="E18" t="s">
        <v>81</v>
      </c>
      <c r="I18" s="21">
        <f>SUM(J18:XFD18)</f>
        <v>5603739.1438445728</v>
      </c>
      <c r="J18" s="15">
        <f>J15*J17</f>
        <v>0</v>
      </c>
      <c r="K18" s="15">
        <f t="shared" ref="K18:AS18" si="10">K15*K17</f>
        <v>174125</v>
      </c>
      <c r="L18" s="15">
        <f t="shared" si="10"/>
        <v>173254.375</v>
      </c>
      <c r="M18" s="15">
        <f t="shared" si="10"/>
        <v>172388.10312499999</v>
      </c>
      <c r="N18" s="15">
        <f t="shared" si="10"/>
        <v>171526.16260937502</v>
      </c>
      <c r="O18" s="15">
        <f t="shared" si="10"/>
        <v>170668.53179632814</v>
      </c>
      <c r="P18" s="15">
        <f t="shared" si="10"/>
        <v>169815.18913734649</v>
      </c>
      <c r="Q18" s="15">
        <f t="shared" si="10"/>
        <v>168966.11319165977</v>
      </c>
      <c r="R18" s="15">
        <f t="shared" si="10"/>
        <v>168121.28262570145</v>
      </c>
      <c r="S18" s="15">
        <f t="shared" si="10"/>
        <v>167280.67621257296</v>
      </c>
      <c r="T18" s="15">
        <f t="shared" si="10"/>
        <v>166444.27283151008</v>
      </c>
      <c r="U18" s="15">
        <f t="shared" si="10"/>
        <v>165612.05146735252</v>
      </c>
      <c r="V18" s="15">
        <f t="shared" si="10"/>
        <v>164783.99121001575</v>
      </c>
      <c r="W18" s="15">
        <f t="shared" si="10"/>
        <v>163960.07125396567</v>
      </c>
      <c r="X18" s="15">
        <f t="shared" si="10"/>
        <v>163140.27089769585</v>
      </c>
      <c r="Y18" s="15">
        <f t="shared" si="10"/>
        <v>162324.56954320738</v>
      </c>
      <c r="Z18" s="15">
        <f t="shared" si="10"/>
        <v>161512.94669549132</v>
      </c>
      <c r="AA18" s="15">
        <f t="shared" si="10"/>
        <v>160705.38196201387</v>
      </c>
      <c r="AB18" s="15">
        <f t="shared" si="10"/>
        <v>159901.85505220381</v>
      </c>
      <c r="AC18" s="15">
        <f t="shared" si="10"/>
        <v>159102.34577694279</v>
      </c>
      <c r="AD18" s="15">
        <f t="shared" si="10"/>
        <v>158306.83404805808</v>
      </c>
      <c r="AE18" s="15">
        <f t="shared" si="10"/>
        <v>157515.29987781777</v>
      </c>
      <c r="AF18" s="15">
        <f t="shared" si="10"/>
        <v>156727.72337842869</v>
      </c>
      <c r="AG18" s="15">
        <f t="shared" si="10"/>
        <v>155944.08476153653</v>
      </c>
      <c r="AH18" s="15">
        <f t="shared" si="10"/>
        <v>155164.36433772885</v>
      </c>
      <c r="AI18" s="15">
        <f t="shared" si="10"/>
        <v>154388.54251604024</v>
      </c>
      <c r="AJ18" s="15">
        <f t="shared" si="10"/>
        <v>153616.59980346003</v>
      </c>
      <c r="AK18" s="15">
        <f t="shared" si="10"/>
        <v>152848.51680444274</v>
      </c>
      <c r="AL18" s="15">
        <f t="shared" si="10"/>
        <v>152084.27422042054</v>
      </c>
      <c r="AM18" s="15">
        <f t="shared" si="10"/>
        <v>151323.85284931841</v>
      </c>
      <c r="AN18" s="15">
        <f t="shared" si="10"/>
        <v>150567.23358507184</v>
      </c>
      <c r="AO18" s="15">
        <f t="shared" si="10"/>
        <v>149814.39741714648</v>
      </c>
      <c r="AP18" s="15">
        <f t="shared" si="10"/>
        <v>149065.32543006074</v>
      </c>
      <c r="AQ18" s="15">
        <f t="shared" si="10"/>
        <v>148319.99880291044</v>
      </c>
      <c r="AR18" s="15">
        <f t="shared" si="10"/>
        <v>147578.39880889587</v>
      </c>
      <c r="AS18" s="15">
        <f t="shared" si="10"/>
        <v>146840.5068148514</v>
      </c>
    </row>
    <row r="19" spans="2:1006" outlineLevel="1" x14ac:dyDescent="0.35"/>
    <row r="20" spans="2:1006" x14ac:dyDescent="0.35">
      <c r="B20" s="28" t="s">
        <v>86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</row>
    <row r="21" spans="2:1006" x14ac:dyDescent="0.35">
      <c r="C21" t="s">
        <v>87</v>
      </c>
      <c r="E21" t="s">
        <v>90</v>
      </c>
      <c r="F21" t="s">
        <v>91</v>
      </c>
      <c r="G21" s="26">
        <f>Inputs!F24*1000</f>
        <v>1000</v>
      </c>
      <c r="J21" s="15">
        <f>IF(J8,0,$G$21*G12)</f>
        <v>100000000</v>
      </c>
      <c r="K21" s="15">
        <f t="shared" ref="K21:AS21" si="11">IF(K8,0,$G$21*H12)</f>
        <v>0</v>
      </c>
      <c r="L21" s="15">
        <f t="shared" si="11"/>
        <v>0</v>
      </c>
      <c r="M21" s="15">
        <f t="shared" si="11"/>
        <v>0</v>
      </c>
      <c r="N21" s="15">
        <f t="shared" si="11"/>
        <v>0</v>
      </c>
      <c r="O21" s="15">
        <f t="shared" si="11"/>
        <v>0</v>
      </c>
      <c r="P21" s="15">
        <f t="shared" si="11"/>
        <v>0</v>
      </c>
      <c r="Q21" s="15">
        <f t="shared" si="11"/>
        <v>0</v>
      </c>
      <c r="R21" s="15">
        <f t="shared" si="11"/>
        <v>0</v>
      </c>
      <c r="S21" s="15">
        <f t="shared" si="11"/>
        <v>0</v>
      </c>
      <c r="T21" s="15">
        <f t="shared" si="11"/>
        <v>0</v>
      </c>
      <c r="U21" s="15">
        <f t="shared" si="11"/>
        <v>0</v>
      </c>
      <c r="V21" s="15">
        <f t="shared" si="11"/>
        <v>0</v>
      </c>
      <c r="W21" s="15">
        <f t="shared" si="11"/>
        <v>0</v>
      </c>
      <c r="X21" s="15">
        <f t="shared" si="11"/>
        <v>0</v>
      </c>
      <c r="Y21" s="15">
        <f t="shared" si="11"/>
        <v>0</v>
      </c>
      <c r="Z21" s="15">
        <f t="shared" si="11"/>
        <v>0</v>
      </c>
      <c r="AA21" s="15">
        <f t="shared" si="11"/>
        <v>0</v>
      </c>
      <c r="AB21" s="15">
        <f t="shared" si="11"/>
        <v>0</v>
      </c>
      <c r="AC21" s="15">
        <f t="shared" si="11"/>
        <v>0</v>
      </c>
      <c r="AD21" s="15">
        <f t="shared" si="11"/>
        <v>0</v>
      </c>
      <c r="AE21" s="15">
        <f t="shared" si="11"/>
        <v>0</v>
      </c>
      <c r="AF21" s="15">
        <f t="shared" si="11"/>
        <v>0</v>
      </c>
      <c r="AG21" s="15">
        <f t="shared" si="11"/>
        <v>0</v>
      </c>
      <c r="AH21" s="15">
        <f t="shared" si="11"/>
        <v>0</v>
      </c>
      <c r="AI21" s="15">
        <f t="shared" si="11"/>
        <v>0</v>
      </c>
      <c r="AJ21" s="15">
        <f t="shared" si="11"/>
        <v>0</v>
      </c>
      <c r="AK21" s="15">
        <f t="shared" si="11"/>
        <v>0</v>
      </c>
      <c r="AL21" s="15">
        <f t="shared" si="11"/>
        <v>0</v>
      </c>
      <c r="AM21" s="15">
        <f t="shared" si="11"/>
        <v>0</v>
      </c>
      <c r="AN21" s="15">
        <f t="shared" si="11"/>
        <v>0</v>
      </c>
      <c r="AO21" s="15">
        <f t="shared" si="11"/>
        <v>0</v>
      </c>
      <c r="AP21" s="15">
        <f t="shared" si="11"/>
        <v>0</v>
      </c>
      <c r="AQ21" s="15">
        <f t="shared" si="11"/>
        <v>0</v>
      </c>
      <c r="AR21" s="15">
        <f t="shared" si="11"/>
        <v>0</v>
      </c>
      <c r="AS21" s="15">
        <f t="shared" si="11"/>
        <v>0</v>
      </c>
    </row>
    <row r="23" spans="2:1006" x14ac:dyDescent="0.35">
      <c r="C23" t="s">
        <v>92</v>
      </c>
      <c r="E23" t="s">
        <v>93</v>
      </c>
      <c r="F23" t="s">
        <v>93</v>
      </c>
      <c r="G23" s="26">
        <f>Inputs!F11</f>
        <v>35</v>
      </c>
      <c r="J23" s="18">
        <f>$G$23</f>
        <v>35</v>
      </c>
      <c r="K23" s="18">
        <f t="shared" ref="K23:AS23" si="12">$G$23</f>
        <v>35</v>
      </c>
      <c r="L23" s="18">
        <f t="shared" si="12"/>
        <v>35</v>
      </c>
      <c r="M23" s="18">
        <f t="shared" si="12"/>
        <v>35</v>
      </c>
      <c r="N23" s="18">
        <f t="shared" si="12"/>
        <v>35</v>
      </c>
      <c r="O23" s="18">
        <f t="shared" si="12"/>
        <v>35</v>
      </c>
      <c r="P23" s="18">
        <f t="shared" si="12"/>
        <v>35</v>
      </c>
      <c r="Q23" s="18">
        <f t="shared" si="12"/>
        <v>35</v>
      </c>
      <c r="R23" s="18">
        <f t="shared" si="12"/>
        <v>35</v>
      </c>
      <c r="S23" s="18">
        <f t="shared" si="12"/>
        <v>35</v>
      </c>
      <c r="T23" s="18">
        <f t="shared" si="12"/>
        <v>35</v>
      </c>
      <c r="U23" s="18">
        <f t="shared" si="12"/>
        <v>35</v>
      </c>
      <c r="V23" s="18">
        <f t="shared" si="12"/>
        <v>35</v>
      </c>
      <c r="W23" s="18">
        <f t="shared" si="12"/>
        <v>35</v>
      </c>
      <c r="X23" s="18">
        <f t="shared" si="12"/>
        <v>35</v>
      </c>
      <c r="Y23" s="18">
        <f t="shared" si="12"/>
        <v>35</v>
      </c>
      <c r="Z23" s="18">
        <f t="shared" si="12"/>
        <v>35</v>
      </c>
      <c r="AA23" s="18">
        <f t="shared" si="12"/>
        <v>35</v>
      </c>
      <c r="AB23" s="18">
        <f t="shared" si="12"/>
        <v>35</v>
      </c>
      <c r="AC23" s="18">
        <f t="shared" si="12"/>
        <v>35</v>
      </c>
      <c r="AD23" s="18">
        <f t="shared" si="12"/>
        <v>35</v>
      </c>
      <c r="AE23" s="18">
        <f t="shared" si="12"/>
        <v>35</v>
      </c>
      <c r="AF23" s="18">
        <f t="shared" si="12"/>
        <v>35</v>
      </c>
      <c r="AG23" s="18">
        <f t="shared" si="12"/>
        <v>35</v>
      </c>
      <c r="AH23" s="18">
        <f t="shared" si="12"/>
        <v>35</v>
      </c>
      <c r="AI23" s="18">
        <f t="shared" si="12"/>
        <v>35</v>
      </c>
      <c r="AJ23" s="18">
        <f t="shared" si="12"/>
        <v>35</v>
      </c>
      <c r="AK23" s="18">
        <f t="shared" si="12"/>
        <v>35</v>
      </c>
      <c r="AL23" s="18">
        <f t="shared" si="12"/>
        <v>35</v>
      </c>
      <c r="AM23" s="18">
        <f t="shared" si="12"/>
        <v>35</v>
      </c>
      <c r="AN23" s="18">
        <f t="shared" si="12"/>
        <v>35</v>
      </c>
      <c r="AO23" s="18">
        <f t="shared" si="12"/>
        <v>35</v>
      </c>
      <c r="AP23" s="18">
        <f t="shared" si="12"/>
        <v>35</v>
      </c>
      <c r="AQ23" s="18">
        <f t="shared" si="12"/>
        <v>35</v>
      </c>
      <c r="AR23" s="18">
        <f t="shared" si="12"/>
        <v>35</v>
      </c>
      <c r="AS23" s="18">
        <f t="shared" si="12"/>
        <v>35</v>
      </c>
    </row>
    <row r="24" spans="2:1006" x14ac:dyDescent="0.35">
      <c r="C24" t="s">
        <v>94</v>
      </c>
      <c r="E24" t="s">
        <v>82</v>
      </c>
      <c r="F24" t="s">
        <v>62</v>
      </c>
      <c r="G24" s="27">
        <f>Inputs!F13</f>
        <v>0</v>
      </c>
      <c r="J24" s="9">
        <v>1</v>
      </c>
      <c r="K24" s="17">
        <f>J24*(1+$G$24)</f>
        <v>1</v>
      </c>
      <c r="L24" s="17">
        <f t="shared" ref="L24:AS24" si="13">K24*(1+$G$24)</f>
        <v>1</v>
      </c>
      <c r="M24" s="17">
        <f t="shared" si="13"/>
        <v>1</v>
      </c>
      <c r="N24" s="17">
        <f t="shared" si="13"/>
        <v>1</v>
      </c>
      <c r="O24" s="17">
        <f t="shared" si="13"/>
        <v>1</v>
      </c>
      <c r="P24" s="17">
        <f t="shared" si="13"/>
        <v>1</v>
      </c>
      <c r="Q24" s="17">
        <f t="shared" si="13"/>
        <v>1</v>
      </c>
      <c r="R24" s="17">
        <f t="shared" si="13"/>
        <v>1</v>
      </c>
      <c r="S24" s="17">
        <f t="shared" si="13"/>
        <v>1</v>
      </c>
      <c r="T24" s="17">
        <f t="shared" si="13"/>
        <v>1</v>
      </c>
      <c r="U24" s="17">
        <f t="shared" si="13"/>
        <v>1</v>
      </c>
      <c r="V24" s="17">
        <f t="shared" si="13"/>
        <v>1</v>
      </c>
      <c r="W24" s="17">
        <f t="shared" si="13"/>
        <v>1</v>
      </c>
      <c r="X24" s="17">
        <f t="shared" si="13"/>
        <v>1</v>
      </c>
      <c r="Y24" s="17">
        <f t="shared" si="13"/>
        <v>1</v>
      </c>
      <c r="Z24" s="17">
        <f t="shared" si="13"/>
        <v>1</v>
      </c>
      <c r="AA24" s="17">
        <f t="shared" si="13"/>
        <v>1</v>
      </c>
      <c r="AB24" s="17">
        <f t="shared" si="13"/>
        <v>1</v>
      </c>
      <c r="AC24" s="17">
        <f t="shared" si="13"/>
        <v>1</v>
      </c>
      <c r="AD24" s="17">
        <f t="shared" si="13"/>
        <v>1</v>
      </c>
      <c r="AE24" s="17">
        <f t="shared" si="13"/>
        <v>1</v>
      </c>
      <c r="AF24" s="17">
        <f t="shared" si="13"/>
        <v>1</v>
      </c>
      <c r="AG24" s="17">
        <f t="shared" si="13"/>
        <v>1</v>
      </c>
      <c r="AH24" s="17">
        <f t="shared" si="13"/>
        <v>1</v>
      </c>
      <c r="AI24" s="17">
        <f t="shared" si="13"/>
        <v>1</v>
      </c>
      <c r="AJ24" s="17">
        <f t="shared" si="13"/>
        <v>1</v>
      </c>
      <c r="AK24" s="17">
        <f t="shared" si="13"/>
        <v>1</v>
      </c>
      <c r="AL24" s="17">
        <f t="shared" si="13"/>
        <v>1</v>
      </c>
      <c r="AM24" s="17">
        <f t="shared" si="13"/>
        <v>1</v>
      </c>
      <c r="AN24" s="17">
        <f t="shared" si="13"/>
        <v>1</v>
      </c>
      <c r="AO24" s="17">
        <f t="shared" si="13"/>
        <v>1</v>
      </c>
      <c r="AP24" s="17">
        <f t="shared" si="13"/>
        <v>1</v>
      </c>
      <c r="AQ24" s="17">
        <f t="shared" si="13"/>
        <v>1</v>
      </c>
      <c r="AR24" s="17">
        <f t="shared" si="13"/>
        <v>1</v>
      </c>
      <c r="AS24" s="17">
        <f t="shared" si="13"/>
        <v>1</v>
      </c>
    </row>
    <row r="25" spans="2:1006" x14ac:dyDescent="0.35">
      <c r="C25" t="s">
        <v>95</v>
      </c>
      <c r="E25" t="s">
        <v>93</v>
      </c>
      <c r="J25" s="18">
        <f>J23*J24</f>
        <v>35</v>
      </c>
      <c r="K25" s="18">
        <f t="shared" ref="K25:AS25" si="14">K23*K24</f>
        <v>35</v>
      </c>
      <c r="L25" s="18">
        <f t="shared" si="14"/>
        <v>35</v>
      </c>
      <c r="M25" s="18">
        <f t="shared" si="14"/>
        <v>35</v>
      </c>
      <c r="N25" s="18">
        <f t="shared" si="14"/>
        <v>35</v>
      </c>
      <c r="O25" s="18">
        <f t="shared" si="14"/>
        <v>35</v>
      </c>
      <c r="P25" s="18">
        <f t="shared" si="14"/>
        <v>35</v>
      </c>
      <c r="Q25" s="18">
        <f t="shared" si="14"/>
        <v>35</v>
      </c>
      <c r="R25" s="18">
        <f t="shared" si="14"/>
        <v>35</v>
      </c>
      <c r="S25" s="18">
        <f t="shared" si="14"/>
        <v>35</v>
      </c>
      <c r="T25" s="18">
        <f t="shared" si="14"/>
        <v>35</v>
      </c>
      <c r="U25" s="18">
        <f t="shared" si="14"/>
        <v>35</v>
      </c>
      <c r="V25" s="18">
        <f t="shared" si="14"/>
        <v>35</v>
      </c>
      <c r="W25" s="18">
        <f t="shared" si="14"/>
        <v>35</v>
      </c>
      <c r="X25" s="18">
        <f t="shared" si="14"/>
        <v>35</v>
      </c>
      <c r="Y25" s="18">
        <f t="shared" si="14"/>
        <v>35</v>
      </c>
      <c r="Z25" s="18">
        <f t="shared" si="14"/>
        <v>35</v>
      </c>
      <c r="AA25" s="18">
        <f t="shared" si="14"/>
        <v>35</v>
      </c>
      <c r="AB25" s="18">
        <f t="shared" si="14"/>
        <v>35</v>
      </c>
      <c r="AC25" s="18">
        <f t="shared" si="14"/>
        <v>35</v>
      </c>
      <c r="AD25" s="18">
        <f t="shared" si="14"/>
        <v>35</v>
      </c>
      <c r="AE25" s="18">
        <f t="shared" si="14"/>
        <v>35</v>
      </c>
      <c r="AF25" s="18">
        <f t="shared" si="14"/>
        <v>35</v>
      </c>
      <c r="AG25" s="18">
        <f t="shared" si="14"/>
        <v>35</v>
      </c>
      <c r="AH25" s="18">
        <f t="shared" si="14"/>
        <v>35</v>
      </c>
      <c r="AI25" s="18">
        <f t="shared" si="14"/>
        <v>35</v>
      </c>
      <c r="AJ25" s="18">
        <f t="shared" si="14"/>
        <v>35</v>
      </c>
      <c r="AK25" s="18">
        <f t="shared" si="14"/>
        <v>35</v>
      </c>
      <c r="AL25" s="18">
        <f t="shared" si="14"/>
        <v>35</v>
      </c>
      <c r="AM25" s="18">
        <f t="shared" si="14"/>
        <v>35</v>
      </c>
      <c r="AN25" s="18">
        <f t="shared" si="14"/>
        <v>35</v>
      </c>
      <c r="AO25" s="18">
        <f t="shared" si="14"/>
        <v>35</v>
      </c>
      <c r="AP25" s="18">
        <f t="shared" si="14"/>
        <v>35</v>
      </c>
      <c r="AQ25" s="18">
        <f t="shared" si="14"/>
        <v>35</v>
      </c>
      <c r="AR25" s="18">
        <f t="shared" si="14"/>
        <v>35</v>
      </c>
      <c r="AS25" s="18">
        <f t="shared" si="14"/>
        <v>35</v>
      </c>
    </row>
    <row r="27" spans="2:1006" x14ac:dyDescent="0.35">
      <c r="C27" t="s">
        <v>96</v>
      </c>
      <c r="E27" t="s">
        <v>93</v>
      </c>
      <c r="F27" t="s">
        <v>93</v>
      </c>
      <c r="G27" s="26">
        <f>Inputs!F14</f>
        <v>45</v>
      </c>
      <c r="J27" s="18">
        <f>$G$27</f>
        <v>45</v>
      </c>
      <c r="K27" s="18">
        <f t="shared" ref="K27:AS27" si="15">$G$27</f>
        <v>45</v>
      </c>
      <c r="L27" s="18">
        <f t="shared" si="15"/>
        <v>45</v>
      </c>
      <c r="M27" s="18">
        <f t="shared" si="15"/>
        <v>45</v>
      </c>
      <c r="N27" s="18">
        <f t="shared" si="15"/>
        <v>45</v>
      </c>
      <c r="O27" s="18">
        <f t="shared" si="15"/>
        <v>45</v>
      </c>
      <c r="P27" s="18">
        <f t="shared" si="15"/>
        <v>45</v>
      </c>
      <c r="Q27" s="18">
        <f t="shared" si="15"/>
        <v>45</v>
      </c>
      <c r="R27" s="18">
        <f t="shared" si="15"/>
        <v>45</v>
      </c>
      <c r="S27" s="18">
        <f t="shared" si="15"/>
        <v>45</v>
      </c>
      <c r="T27" s="18">
        <f t="shared" si="15"/>
        <v>45</v>
      </c>
      <c r="U27" s="18">
        <f t="shared" si="15"/>
        <v>45</v>
      </c>
      <c r="V27" s="18">
        <f t="shared" si="15"/>
        <v>45</v>
      </c>
      <c r="W27" s="18">
        <f t="shared" si="15"/>
        <v>45</v>
      </c>
      <c r="X27" s="18">
        <f t="shared" si="15"/>
        <v>45</v>
      </c>
      <c r="Y27" s="18">
        <f t="shared" si="15"/>
        <v>45</v>
      </c>
      <c r="Z27" s="18">
        <f t="shared" si="15"/>
        <v>45</v>
      </c>
      <c r="AA27" s="18">
        <f t="shared" si="15"/>
        <v>45</v>
      </c>
      <c r="AB27" s="18">
        <f t="shared" si="15"/>
        <v>45</v>
      </c>
      <c r="AC27" s="18">
        <f t="shared" si="15"/>
        <v>45</v>
      </c>
      <c r="AD27" s="18">
        <f t="shared" si="15"/>
        <v>45</v>
      </c>
      <c r="AE27" s="18">
        <f t="shared" si="15"/>
        <v>45</v>
      </c>
      <c r="AF27" s="18">
        <f t="shared" si="15"/>
        <v>45</v>
      </c>
      <c r="AG27" s="18">
        <f t="shared" si="15"/>
        <v>45</v>
      </c>
      <c r="AH27" s="18">
        <f t="shared" si="15"/>
        <v>45</v>
      </c>
      <c r="AI27" s="18">
        <f t="shared" si="15"/>
        <v>45</v>
      </c>
      <c r="AJ27" s="18">
        <f t="shared" si="15"/>
        <v>45</v>
      </c>
      <c r="AK27" s="18">
        <f t="shared" si="15"/>
        <v>45</v>
      </c>
      <c r="AL27" s="18">
        <f t="shared" si="15"/>
        <v>45</v>
      </c>
      <c r="AM27" s="18">
        <f t="shared" si="15"/>
        <v>45</v>
      </c>
      <c r="AN27" s="18">
        <f t="shared" si="15"/>
        <v>45</v>
      </c>
      <c r="AO27" s="18">
        <f t="shared" si="15"/>
        <v>45</v>
      </c>
      <c r="AP27" s="18">
        <f t="shared" si="15"/>
        <v>45</v>
      </c>
      <c r="AQ27" s="18">
        <f t="shared" si="15"/>
        <v>45</v>
      </c>
      <c r="AR27" s="18">
        <f t="shared" si="15"/>
        <v>45</v>
      </c>
      <c r="AS27" s="18">
        <f t="shared" si="15"/>
        <v>45</v>
      </c>
    </row>
    <row r="28" spans="2:1006" x14ac:dyDescent="0.35">
      <c r="C28" t="s">
        <v>97</v>
      </c>
      <c r="E28" t="s">
        <v>82</v>
      </c>
      <c r="F28" t="s">
        <v>62</v>
      </c>
      <c r="G28" s="27">
        <f>Inputs!F15</f>
        <v>0</v>
      </c>
      <c r="J28" s="9">
        <v>1</v>
      </c>
      <c r="K28" s="17">
        <f>J28*(1+$G$28)</f>
        <v>1</v>
      </c>
      <c r="L28" s="17">
        <f t="shared" ref="L28:AS28" si="16">K28*(1+$G$28)</f>
        <v>1</v>
      </c>
      <c r="M28" s="17">
        <f t="shared" si="16"/>
        <v>1</v>
      </c>
      <c r="N28" s="17">
        <f t="shared" si="16"/>
        <v>1</v>
      </c>
      <c r="O28" s="17">
        <f t="shared" si="16"/>
        <v>1</v>
      </c>
      <c r="P28" s="17">
        <f t="shared" si="16"/>
        <v>1</v>
      </c>
      <c r="Q28" s="17">
        <f t="shared" si="16"/>
        <v>1</v>
      </c>
      <c r="R28" s="17">
        <f t="shared" si="16"/>
        <v>1</v>
      </c>
      <c r="S28" s="17">
        <f t="shared" si="16"/>
        <v>1</v>
      </c>
      <c r="T28" s="17">
        <f t="shared" si="16"/>
        <v>1</v>
      </c>
      <c r="U28" s="17">
        <f t="shared" si="16"/>
        <v>1</v>
      </c>
      <c r="V28" s="17">
        <f t="shared" si="16"/>
        <v>1</v>
      </c>
      <c r="W28" s="17">
        <f t="shared" si="16"/>
        <v>1</v>
      </c>
      <c r="X28" s="17">
        <f t="shared" si="16"/>
        <v>1</v>
      </c>
      <c r="Y28" s="17">
        <f t="shared" si="16"/>
        <v>1</v>
      </c>
      <c r="Z28" s="17">
        <f t="shared" si="16"/>
        <v>1</v>
      </c>
      <c r="AA28" s="17">
        <f t="shared" si="16"/>
        <v>1</v>
      </c>
      <c r="AB28" s="17">
        <f t="shared" si="16"/>
        <v>1</v>
      </c>
      <c r="AC28" s="17">
        <f t="shared" si="16"/>
        <v>1</v>
      </c>
      <c r="AD28" s="17">
        <f t="shared" si="16"/>
        <v>1</v>
      </c>
      <c r="AE28" s="17">
        <f t="shared" si="16"/>
        <v>1</v>
      </c>
      <c r="AF28" s="17">
        <f t="shared" si="16"/>
        <v>1</v>
      </c>
      <c r="AG28" s="17">
        <f t="shared" si="16"/>
        <v>1</v>
      </c>
      <c r="AH28" s="17">
        <f t="shared" si="16"/>
        <v>1</v>
      </c>
      <c r="AI28" s="17">
        <f t="shared" si="16"/>
        <v>1</v>
      </c>
      <c r="AJ28" s="17">
        <f t="shared" si="16"/>
        <v>1</v>
      </c>
      <c r="AK28" s="17">
        <f t="shared" si="16"/>
        <v>1</v>
      </c>
      <c r="AL28" s="17">
        <f t="shared" si="16"/>
        <v>1</v>
      </c>
      <c r="AM28" s="17">
        <f t="shared" si="16"/>
        <v>1</v>
      </c>
      <c r="AN28" s="17">
        <f t="shared" si="16"/>
        <v>1</v>
      </c>
      <c r="AO28" s="17">
        <f t="shared" si="16"/>
        <v>1</v>
      </c>
      <c r="AP28" s="17">
        <f t="shared" si="16"/>
        <v>1</v>
      </c>
      <c r="AQ28" s="17">
        <f t="shared" si="16"/>
        <v>1</v>
      </c>
      <c r="AR28" s="17">
        <f t="shared" si="16"/>
        <v>1</v>
      </c>
      <c r="AS28" s="17">
        <f t="shared" si="16"/>
        <v>1</v>
      </c>
    </row>
    <row r="29" spans="2:1006" x14ac:dyDescent="0.35">
      <c r="C29" t="s">
        <v>98</v>
      </c>
      <c r="E29" t="s">
        <v>93</v>
      </c>
      <c r="J29" s="18">
        <f>J27*J28</f>
        <v>45</v>
      </c>
      <c r="K29" s="18">
        <f t="shared" ref="K29:AS29" si="17">K27*K28</f>
        <v>45</v>
      </c>
      <c r="L29" s="18">
        <f t="shared" si="17"/>
        <v>45</v>
      </c>
      <c r="M29" s="18">
        <f t="shared" si="17"/>
        <v>45</v>
      </c>
      <c r="N29" s="18">
        <f t="shared" si="17"/>
        <v>45</v>
      </c>
      <c r="O29" s="18">
        <f t="shared" si="17"/>
        <v>45</v>
      </c>
      <c r="P29" s="18">
        <f t="shared" si="17"/>
        <v>45</v>
      </c>
      <c r="Q29" s="18">
        <f t="shared" si="17"/>
        <v>45</v>
      </c>
      <c r="R29" s="18">
        <f t="shared" si="17"/>
        <v>45</v>
      </c>
      <c r="S29" s="18">
        <f t="shared" si="17"/>
        <v>45</v>
      </c>
      <c r="T29" s="18">
        <f t="shared" si="17"/>
        <v>45</v>
      </c>
      <c r="U29" s="18">
        <f t="shared" si="17"/>
        <v>45</v>
      </c>
      <c r="V29" s="18">
        <f t="shared" si="17"/>
        <v>45</v>
      </c>
      <c r="W29" s="18">
        <f t="shared" si="17"/>
        <v>45</v>
      </c>
      <c r="X29" s="18">
        <f t="shared" si="17"/>
        <v>45</v>
      </c>
      <c r="Y29" s="18">
        <f t="shared" si="17"/>
        <v>45</v>
      </c>
      <c r="Z29" s="18">
        <f t="shared" si="17"/>
        <v>45</v>
      </c>
      <c r="AA29" s="18">
        <f t="shared" si="17"/>
        <v>45</v>
      </c>
      <c r="AB29" s="18">
        <f t="shared" si="17"/>
        <v>45</v>
      </c>
      <c r="AC29" s="18">
        <f t="shared" si="17"/>
        <v>45</v>
      </c>
      <c r="AD29" s="18">
        <f t="shared" si="17"/>
        <v>45</v>
      </c>
      <c r="AE29" s="18">
        <f t="shared" si="17"/>
        <v>45</v>
      </c>
      <c r="AF29" s="18">
        <f t="shared" si="17"/>
        <v>45</v>
      </c>
      <c r="AG29" s="18">
        <f t="shared" si="17"/>
        <v>45</v>
      </c>
      <c r="AH29" s="18">
        <f t="shared" si="17"/>
        <v>45</v>
      </c>
      <c r="AI29" s="18">
        <f t="shared" si="17"/>
        <v>45</v>
      </c>
      <c r="AJ29" s="18">
        <f t="shared" si="17"/>
        <v>45</v>
      </c>
      <c r="AK29" s="18">
        <f t="shared" si="17"/>
        <v>45</v>
      </c>
      <c r="AL29" s="18">
        <f t="shared" si="17"/>
        <v>45</v>
      </c>
      <c r="AM29" s="18">
        <f t="shared" si="17"/>
        <v>45</v>
      </c>
      <c r="AN29" s="18">
        <f t="shared" si="17"/>
        <v>45</v>
      </c>
      <c r="AO29" s="18">
        <f t="shared" si="17"/>
        <v>45</v>
      </c>
      <c r="AP29" s="18">
        <f t="shared" si="17"/>
        <v>45</v>
      </c>
      <c r="AQ29" s="18">
        <f t="shared" si="17"/>
        <v>45</v>
      </c>
      <c r="AR29" s="18">
        <f t="shared" si="17"/>
        <v>45</v>
      </c>
      <c r="AS29" s="18">
        <f t="shared" si="17"/>
        <v>45</v>
      </c>
    </row>
    <row r="31" spans="2:1006" x14ac:dyDescent="0.35">
      <c r="C31" t="s">
        <v>99</v>
      </c>
      <c r="E31" t="s">
        <v>90</v>
      </c>
      <c r="I31" s="21">
        <f>SUM(J31:XFD31)</f>
        <v>116267900.85527542</v>
      </c>
      <c r="J31" s="15">
        <f>J25*J18*J6</f>
        <v>0</v>
      </c>
      <c r="K31" s="15">
        <f t="shared" ref="K31:AS31" si="18">K25*K18*K6</f>
        <v>6094375</v>
      </c>
      <c r="L31" s="15">
        <f t="shared" si="18"/>
        <v>6063903.125</v>
      </c>
      <c r="M31" s="15">
        <f t="shared" si="18"/>
        <v>6033583.609375</v>
      </c>
      <c r="N31" s="15">
        <f t="shared" si="18"/>
        <v>6003415.691328126</v>
      </c>
      <c r="O31" s="15">
        <f t="shared" si="18"/>
        <v>5973398.6128714848</v>
      </c>
      <c r="P31" s="15">
        <f t="shared" si="18"/>
        <v>5943531.6198071269</v>
      </c>
      <c r="Q31" s="15">
        <f t="shared" si="18"/>
        <v>5913813.9617080921</v>
      </c>
      <c r="R31" s="15">
        <f t="shared" si="18"/>
        <v>5884244.8918995513</v>
      </c>
      <c r="S31" s="15">
        <f t="shared" si="18"/>
        <v>5854823.6674400531</v>
      </c>
      <c r="T31" s="15">
        <f t="shared" si="18"/>
        <v>5825549.5491028531</v>
      </c>
      <c r="U31" s="15">
        <f t="shared" si="18"/>
        <v>5796421.8013573382</v>
      </c>
      <c r="V31" s="15">
        <f t="shared" si="18"/>
        <v>5767439.6923505515</v>
      </c>
      <c r="W31" s="15">
        <f t="shared" si="18"/>
        <v>5738602.4938887982</v>
      </c>
      <c r="X31" s="15">
        <f t="shared" si="18"/>
        <v>5709909.4814193547</v>
      </c>
      <c r="Y31" s="15">
        <f t="shared" si="18"/>
        <v>5681359.9340122584</v>
      </c>
      <c r="Z31" s="15">
        <f t="shared" si="18"/>
        <v>5652953.1343421964</v>
      </c>
      <c r="AA31" s="15">
        <f t="shared" si="18"/>
        <v>5624688.368670485</v>
      </c>
      <c r="AB31" s="15">
        <f t="shared" si="18"/>
        <v>5596564.9268271336</v>
      </c>
      <c r="AC31" s="15">
        <f t="shared" si="18"/>
        <v>5568582.1021929979</v>
      </c>
      <c r="AD31" s="15">
        <f t="shared" si="18"/>
        <v>5540739.1916820332</v>
      </c>
      <c r="AE31" s="15">
        <f t="shared" si="18"/>
        <v>0</v>
      </c>
      <c r="AF31" s="15">
        <f t="shared" si="18"/>
        <v>0</v>
      </c>
      <c r="AG31" s="15">
        <f t="shared" si="18"/>
        <v>0</v>
      </c>
      <c r="AH31" s="15">
        <f t="shared" si="18"/>
        <v>0</v>
      </c>
      <c r="AI31" s="15">
        <f t="shared" si="18"/>
        <v>0</v>
      </c>
      <c r="AJ31" s="15">
        <f t="shared" si="18"/>
        <v>0</v>
      </c>
      <c r="AK31" s="15">
        <f t="shared" si="18"/>
        <v>0</v>
      </c>
      <c r="AL31" s="15">
        <f t="shared" si="18"/>
        <v>0</v>
      </c>
      <c r="AM31" s="15">
        <f t="shared" si="18"/>
        <v>0</v>
      </c>
      <c r="AN31" s="15">
        <f t="shared" si="18"/>
        <v>0</v>
      </c>
      <c r="AO31" s="15">
        <f t="shared" si="18"/>
        <v>0</v>
      </c>
      <c r="AP31" s="15">
        <f t="shared" si="18"/>
        <v>0</v>
      </c>
      <c r="AQ31" s="15">
        <f t="shared" si="18"/>
        <v>0</v>
      </c>
      <c r="AR31" s="15">
        <f t="shared" si="18"/>
        <v>0</v>
      </c>
      <c r="AS31" s="15">
        <f t="shared" si="18"/>
        <v>0</v>
      </c>
    </row>
    <row r="32" spans="2:1006" x14ac:dyDescent="0.35">
      <c r="C32" t="s">
        <v>100</v>
      </c>
      <c r="E32" t="s">
        <v>90</v>
      </c>
      <c r="I32" s="21">
        <f>SUM(J32:XFD32)</f>
        <v>102680960.37336589</v>
      </c>
      <c r="J32" s="15">
        <f>J29*J7*J18</f>
        <v>0</v>
      </c>
      <c r="K32" s="15">
        <f t="shared" ref="K32:AS32" si="19">K29*K7*K18</f>
        <v>0</v>
      </c>
      <c r="L32" s="15">
        <f t="shared" si="19"/>
        <v>0</v>
      </c>
      <c r="M32" s="15">
        <f t="shared" si="19"/>
        <v>0</v>
      </c>
      <c r="N32" s="15">
        <f t="shared" si="19"/>
        <v>0</v>
      </c>
      <c r="O32" s="15">
        <f t="shared" si="19"/>
        <v>0</v>
      </c>
      <c r="P32" s="15">
        <f t="shared" si="19"/>
        <v>0</v>
      </c>
      <c r="Q32" s="15">
        <f t="shared" si="19"/>
        <v>0</v>
      </c>
      <c r="R32" s="15">
        <f t="shared" si="19"/>
        <v>0</v>
      </c>
      <c r="S32" s="15">
        <f t="shared" si="19"/>
        <v>0</v>
      </c>
      <c r="T32" s="15">
        <f t="shared" si="19"/>
        <v>0</v>
      </c>
      <c r="U32" s="15">
        <f t="shared" si="19"/>
        <v>0</v>
      </c>
      <c r="V32" s="15">
        <f t="shared" si="19"/>
        <v>0</v>
      </c>
      <c r="W32" s="15">
        <f t="shared" si="19"/>
        <v>0</v>
      </c>
      <c r="X32" s="15">
        <f t="shared" si="19"/>
        <v>0</v>
      </c>
      <c r="Y32" s="15">
        <f t="shared" si="19"/>
        <v>0</v>
      </c>
      <c r="Z32" s="15">
        <f t="shared" si="19"/>
        <v>0</v>
      </c>
      <c r="AA32" s="15">
        <f t="shared" si="19"/>
        <v>0</v>
      </c>
      <c r="AB32" s="15">
        <f t="shared" si="19"/>
        <v>0</v>
      </c>
      <c r="AC32" s="15">
        <f t="shared" si="19"/>
        <v>0</v>
      </c>
      <c r="AD32" s="15">
        <f t="shared" si="19"/>
        <v>0</v>
      </c>
      <c r="AE32" s="15">
        <f t="shared" si="19"/>
        <v>7088188.4945017993</v>
      </c>
      <c r="AF32" s="15">
        <f t="shared" si="19"/>
        <v>7052747.5520292912</v>
      </c>
      <c r="AG32" s="15">
        <f t="shared" si="19"/>
        <v>7017483.8142691441</v>
      </c>
      <c r="AH32" s="15">
        <f t="shared" si="19"/>
        <v>6982396.3951977985</v>
      </c>
      <c r="AI32" s="15">
        <f t="shared" si="19"/>
        <v>6947484.4132218109</v>
      </c>
      <c r="AJ32" s="15">
        <f t="shared" si="19"/>
        <v>6912746.9911557017</v>
      </c>
      <c r="AK32" s="15">
        <f t="shared" si="19"/>
        <v>6878183.2561999233</v>
      </c>
      <c r="AL32" s="15">
        <f t="shared" si="19"/>
        <v>6843792.3399189245</v>
      </c>
      <c r="AM32" s="15">
        <f t="shared" si="19"/>
        <v>6809573.3782193288</v>
      </c>
      <c r="AN32" s="15">
        <f t="shared" si="19"/>
        <v>6775525.5113282325</v>
      </c>
      <c r="AO32" s="15">
        <f t="shared" si="19"/>
        <v>6741647.8837715918</v>
      </c>
      <c r="AP32" s="15">
        <f t="shared" si="19"/>
        <v>6707939.6443527332</v>
      </c>
      <c r="AQ32" s="15">
        <f t="shared" si="19"/>
        <v>6674399.9461309696</v>
      </c>
      <c r="AR32" s="15">
        <f t="shared" si="19"/>
        <v>6641027.9464003146</v>
      </c>
      <c r="AS32" s="15">
        <f t="shared" si="19"/>
        <v>6607822.8066683132</v>
      </c>
    </row>
    <row r="33" spans="3:45" x14ac:dyDescent="0.35">
      <c r="D33" s="19" t="s">
        <v>105</v>
      </c>
      <c r="E33" s="19" t="s">
        <v>90</v>
      </c>
      <c r="F33" s="19"/>
      <c r="G33" s="19"/>
      <c r="H33" s="19"/>
      <c r="I33" s="22">
        <f>SUM(J33:XFD33)</f>
        <v>218948861.2286413</v>
      </c>
      <c r="J33" s="20">
        <f>SUM(J31:J32)</f>
        <v>0</v>
      </c>
      <c r="K33" s="20">
        <f t="shared" ref="K33:AS33" si="20">SUM(K31:K32)</f>
        <v>6094375</v>
      </c>
      <c r="L33" s="20">
        <f t="shared" si="20"/>
        <v>6063903.125</v>
      </c>
      <c r="M33" s="20">
        <f t="shared" si="20"/>
        <v>6033583.609375</v>
      </c>
      <c r="N33" s="20">
        <f t="shared" si="20"/>
        <v>6003415.691328126</v>
      </c>
      <c r="O33" s="20">
        <f t="shared" si="20"/>
        <v>5973398.6128714848</v>
      </c>
      <c r="P33" s="20">
        <f t="shared" si="20"/>
        <v>5943531.6198071269</v>
      </c>
      <c r="Q33" s="20">
        <f t="shared" si="20"/>
        <v>5913813.9617080921</v>
      </c>
      <c r="R33" s="20">
        <f t="shared" si="20"/>
        <v>5884244.8918995513</v>
      </c>
      <c r="S33" s="20">
        <f t="shared" si="20"/>
        <v>5854823.6674400531</v>
      </c>
      <c r="T33" s="20">
        <f t="shared" si="20"/>
        <v>5825549.5491028531</v>
      </c>
      <c r="U33" s="20">
        <f t="shared" si="20"/>
        <v>5796421.8013573382</v>
      </c>
      <c r="V33" s="20">
        <f t="shared" si="20"/>
        <v>5767439.6923505515</v>
      </c>
      <c r="W33" s="20">
        <f t="shared" si="20"/>
        <v>5738602.4938887982</v>
      </c>
      <c r="X33" s="20">
        <f t="shared" si="20"/>
        <v>5709909.4814193547</v>
      </c>
      <c r="Y33" s="20">
        <f t="shared" si="20"/>
        <v>5681359.9340122584</v>
      </c>
      <c r="Z33" s="20">
        <f t="shared" si="20"/>
        <v>5652953.1343421964</v>
      </c>
      <c r="AA33" s="20">
        <f t="shared" si="20"/>
        <v>5624688.368670485</v>
      </c>
      <c r="AB33" s="20">
        <f t="shared" si="20"/>
        <v>5596564.9268271336</v>
      </c>
      <c r="AC33" s="20">
        <f t="shared" si="20"/>
        <v>5568582.1021929979</v>
      </c>
      <c r="AD33" s="20">
        <f t="shared" si="20"/>
        <v>5540739.1916820332</v>
      </c>
      <c r="AE33" s="20">
        <f t="shared" si="20"/>
        <v>7088188.4945017993</v>
      </c>
      <c r="AF33" s="20">
        <f t="shared" si="20"/>
        <v>7052747.5520292912</v>
      </c>
      <c r="AG33" s="20">
        <f t="shared" si="20"/>
        <v>7017483.8142691441</v>
      </c>
      <c r="AH33" s="20">
        <f t="shared" si="20"/>
        <v>6982396.3951977985</v>
      </c>
      <c r="AI33" s="20">
        <f t="shared" si="20"/>
        <v>6947484.4132218109</v>
      </c>
      <c r="AJ33" s="20">
        <f t="shared" si="20"/>
        <v>6912746.9911557017</v>
      </c>
      <c r="AK33" s="20">
        <f t="shared" si="20"/>
        <v>6878183.2561999233</v>
      </c>
      <c r="AL33" s="20">
        <f t="shared" si="20"/>
        <v>6843792.3399189245</v>
      </c>
      <c r="AM33" s="20">
        <f t="shared" si="20"/>
        <v>6809573.3782193288</v>
      </c>
      <c r="AN33" s="20">
        <f t="shared" si="20"/>
        <v>6775525.5113282325</v>
      </c>
      <c r="AO33" s="20">
        <f t="shared" si="20"/>
        <v>6741647.8837715918</v>
      </c>
      <c r="AP33" s="20">
        <f t="shared" si="20"/>
        <v>6707939.6443527332</v>
      </c>
      <c r="AQ33" s="20">
        <f t="shared" si="20"/>
        <v>6674399.9461309696</v>
      </c>
      <c r="AR33" s="20">
        <f t="shared" si="20"/>
        <v>6641027.9464003146</v>
      </c>
      <c r="AS33" s="20">
        <f t="shared" si="20"/>
        <v>6607822.8066683132</v>
      </c>
    </row>
    <row r="35" spans="3:45" x14ac:dyDescent="0.35">
      <c r="C35" t="s">
        <v>101</v>
      </c>
      <c r="E35" t="s">
        <v>82</v>
      </c>
      <c r="F35" t="s">
        <v>62</v>
      </c>
      <c r="G35" s="27">
        <f>Inputs!F21</f>
        <v>0.02</v>
      </c>
      <c r="J35" s="9">
        <v>1</v>
      </c>
      <c r="K35" s="17">
        <f>J35*(1+$G$35)</f>
        <v>1.02</v>
      </c>
      <c r="L35" s="17">
        <f t="shared" ref="L35:AS35" si="21">K35*(1+$G$35)</f>
        <v>1.0404</v>
      </c>
      <c r="M35" s="17">
        <f t="shared" si="21"/>
        <v>1.0612079999999999</v>
      </c>
      <c r="N35" s="17">
        <f t="shared" si="21"/>
        <v>1.08243216</v>
      </c>
      <c r="O35" s="17">
        <f t="shared" si="21"/>
        <v>1.1040808032</v>
      </c>
      <c r="P35" s="17">
        <f t="shared" si="21"/>
        <v>1.1261624192640001</v>
      </c>
      <c r="Q35" s="17">
        <f t="shared" si="21"/>
        <v>1.14868566764928</v>
      </c>
      <c r="R35" s="17">
        <f t="shared" si="21"/>
        <v>1.1716593810022657</v>
      </c>
      <c r="S35" s="17">
        <f t="shared" si="21"/>
        <v>1.1950925686223111</v>
      </c>
      <c r="T35" s="17">
        <f t="shared" si="21"/>
        <v>1.2189944199947573</v>
      </c>
      <c r="U35" s="17">
        <f t="shared" si="21"/>
        <v>1.2433743083946525</v>
      </c>
      <c r="V35" s="17">
        <f t="shared" si="21"/>
        <v>1.2682417945625455</v>
      </c>
      <c r="W35" s="17">
        <f t="shared" si="21"/>
        <v>1.2936066304537963</v>
      </c>
      <c r="X35" s="17">
        <f t="shared" si="21"/>
        <v>1.3194787630628724</v>
      </c>
      <c r="Y35" s="17">
        <f t="shared" si="21"/>
        <v>1.3458683383241299</v>
      </c>
      <c r="Z35" s="17">
        <f t="shared" si="21"/>
        <v>1.3727857050906125</v>
      </c>
      <c r="AA35" s="17">
        <f t="shared" si="21"/>
        <v>1.4002414191924248</v>
      </c>
      <c r="AB35" s="17">
        <f t="shared" si="21"/>
        <v>1.4282462475762734</v>
      </c>
      <c r="AC35" s="17">
        <f t="shared" si="21"/>
        <v>1.4568111725277988</v>
      </c>
      <c r="AD35" s="17">
        <f t="shared" si="21"/>
        <v>1.4859473959783549</v>
      </c>
      <c r="AE35" s="17">
        <f t="shared" si="21"/>
        <v>1.5156663438979221</v>
      </c>
      <c r="AF35" s="17">
        <f t="shared" si="21"/>
        <v>1.5459796707758806</v>
      </c>
      <c r="AG35" s="17">
        <f t="shared" si="21"/>
        <v>1.5768992641913981</v>
      </c>
      <c r="AH35" s="17">
        <f t="shared" si="21"/>
        <v>1.6084372494752261</v>
      </c>
      <c r="AI35" s="17">
        <f t="shared" si="21"/>
        <v>1.6406059944647307</v>
      </c>
      <c r="AJ35" s="17">
        <f t="shared" si="21"/>
        <v>1.6734181143540252</v>
      </c>
      <c r="AK35" s="17">
        <f t="shared" si="21"/>
        <v>1.7068864766411058</v>
      </c>
      <c r="AL35" s="17">
        <f t="shared" si="21"/>
        <v>1.7410242061739281</v>
      </c>
      <c r="AM35" s="17">
        <f t="shared" si="21"/>
        <v>1.7758446902974065</v>
      </c>
      <c r="AN35" s="17">
        <f t="shared" si="21"/>
        <v>1.8113615841033548</v>
      </c>
      <c r="AO35" s="17">
        <f t="shared" si="21"/>
        <v>1.8475888157854219</v>
      </c>
      <c r="AP35" s="17">
        <f t="shared" si="21"/>
        <v>1.8845405921011305</v>
      </c>
      <c r="AQ35" s="17">
        <f t="shared" si="21"/>
        <v>1.9222314039431532</v>
      </c>
      <c r="AR35" s="17">
        <f t="shared" si="21"/>
        <v>1.9606760320220162</v>
      </c>
      <c r="AS35" s="17">
        <f t="shared" si="21"/>
        <v>1.9998895526624565</v>
      </c>
    </row>
    <row r="37" spans="3:45" x14ac:dyDescent="0.35">
      <c r="C37" t="s">
        <v>11</v>
      </c>
      <c r="E37" t="s">
        <v>90</v>
      </c>
      <c r="F37" t="s">
        <v>102</v>
      </c>
      <c r="G37" s="26">
        <f>Inputs!F18</f>
        <v>7</v>
      </c>
      <c r="I37" s="21">
        <f>SUM(J37:XFD37)</f>
        <v>35696057.030049659</v>
      </c>
      <c r="J37" s="15">
        <f t="shared" ref="J37:S39" si="22">$G37*J$12*J$8*J$35</f>
        <v>0</v>
      </c>
      <c r="K37" s="15">
        <f t="shared" si="22"/>
        <v>714000</v>
      </c>
      <c r="L37" s="15">
        <f t="shared" si="22"/>
        <v>728280</v>
      </c>
      <c r="M37" s="15">
        <f t="shared" si="22"/>
        <v>742845.6</v>
      </c>
      <c r="N37" s="15">
        <f t="shared" si="22"/>
        <v>757702.51199999999</v>
      </c>
      <c r="O37" s="15">
        <f t="shared" si="22"/>
        <v>772856.56224</v>
      </c>
      <c r="P37" s="15">
        <f t="shared" si="22"/>
        <v>788313.69348480005</v>
      </c>
      <c r="Q37" s="15">
        <f t="shared" si="22"/>
        <v>804079.96735449601</v>
      </c>
      <c r="R37" s="15">
        <f t="shared" si="22"/>
        <v>820161.56670158601</v>
      </c>
      <c r="S37" s="15">
        <f t="shared" si="22"/>
        <v>836564.79803561768</v>
      </c>
      <c r="T37" s="15">
        <f t="shared" ref="T37:AC39" si="23">$G37*T$12*T$8*T$35</f>
        <v>853296.09399633016</v>
      </c>
      <c r="U37" s="15">
        <f t="shared" si="23"/>
        <v>870362.01587625674</v>
      </c>
      <c r="V37" s="15">
        <f t="shared" si="23"/>
        <v>887769.25619378185</v>
      </c>
      <c r="W37" s="15">
        <f t="shared" si="23"/>
        <v>905524.64131765743</v>
      </c>
      <c r="X37" s="15">
        <f t="shared" si="23"/>
        <v>923635.1341440106</v>
      </c>
      <c r="Y37" s="15">
        <f t="shared" si="23"/>
        <v>942107.83682689094</v>
      </c>
      <c r="Z37" s="15">
        <f t="shared" si="23"/>
        <v>960949.99356342875</v>
      </c>
      <c r="AA37" s="15">
        <f t="shared" si="23"/>
        <v>980168.99343469739</v>
      </c>
      <c r="AB37" s="15">
        <f t="shared" si="23"/>
        <v>999772.37330339139</v>
      </c>
      <c r="AC37" s="15">
        <f t="shared" si="23"/>
        <v>1019767.8207694591</v>
      </c>
      <c r="AD37" s="15">
        <f t="shared" ref="AD37:AM39" si="24">$G37*AD$12*AD$8*AD$35</f>
        <v>1040163.1771848485</v>
      </c>
      <c r="AE37" s="15">
        <f t="shared" si="24"/>
        <v>1060966.4407285454</v>
      </c>
      <c r="AF37" s="15">
        <f t="shared" si="24"/>
        <v>1082185.7695431164</v>
      </c>
      <c r="AG37" s="15">
        <f t="shared" si="24"/>
        <v>1103829.4849339786</v>
      </c>
      <c r="AH37" s="15">
        <f t="shared" si="24"/>
        <v>1125906.0746326584</v>
      </c>
      <c r="AI37" s="15">
        <f t="shared" si="24"/>
        <v>1148424.1961253115</v>
      </c>
      <c r="AJ37" s="15">
        <f t="shared" si="24"/>
        <v>1171392.6800478178</v>
      </c>
      <c r="AK37" s="15">
        <f t="shared" si="24"/>
        <v>1194820.533648774</v>
      </c>
      <c r="AL37" s="15">
        <f t="shared" si="24"/>
        <v>1218716.9443217497</v>
      </c>
      <c r="AM37" s="15">
        <f t="shared" si="24"/>
        <v>1243091.2832081846</v>
      </c>
      <c r="AN37" s="15">
        <f t="shared" ref="AN37:AS39" si="25">$G37*AN$12*AN$8*AN$35</f>
        <v>1267953.1088723484</v>
      </c>
      <c r="AO37" s="15">
        <f t="shared" si="25"/>
        <v>1293312.1710497953</v>
      </c>
      <c r="AP37" s="15">
        <f t="shared" si="25"/>
        <v>1319178.4144707914</v>
      </c>
      <c r="AQ37" s="15">
        <f t="shared" si="25"/>
        <v>1345561.9827602073</v>
      </c>
      <c r="AR37" s="15">
        <f t="shared" si="25"/>
        <v>1372473.2224154114</v>
      </c>
      <c r="AS37" s="15">
        <f t="shared" si="25"/>
        <v>1399922.6868637195</v>
      </c>
    </row>
    <row r="38" spans="3:45" x14ac:dyDescent="0.35">
      <c r="C38" t="s">
        <v>12</v>
      </c>
      <c r="E38" t="s">
        <v>90</v>
      </c>
      <c r="F38" t="s">
        <v>102</v>
      </c>
      <c r="G38" s="26">
        <f>Inputs!F19</f>
        <v>1.5</v>
      </c>
      <c r="I38" s="21">
        <f t="shared" ref="I38:I40" si="26">SUM(J38:XFD38)</f>
        <v>7649155.0778677855</v>
      </c>
      <c r="J38" s="15">
        <f t="shared" si="22"/>
        <v>0</v>
      </c>
      <c r="K38" s="15">
        <f t="shared" si="22"/>
        <v>153000</v>
      </c>
      <c r="L38" s="15">
        <f t="shared" si="22"/>
        <v>156060</v>
      </c>
      <c r="M38" s="15">
        <f t="shared" si="22"/>
        <v>159181.19999999998</v>
      </c>
      <c r="N38" s="15">
        <f t="shared" si="22"/>
        <v>162364.82399999999</v>
      </c>
      <c r="O38" s="15">
        <f t="shared" si="22"/>
        <v>165612.12048000001</v>
      </c>
      <c r="P38" s="15">
        <f t="shared" si="22"/>
        <v>168924.36288960002</v>
      </c>
      <c r="Q38" s="15">
        <f t="shared" si="22"/>
        <v>172302.85014739202</v>
      </c>
      <c r="R38" s="15">
        <f t="shared" si="22"/>
        <v>175748.90715033986</v>
      </c>
      <c r="S38" s="15">
        <f t="shared" si="22"/>
        <v>179263.88529334666</v>
      </c>
      <c r="T38" s="15">
        <f t="shared" si="23"/>
        <v>182849.16299921359</v>
      </c>
      <c r="U38" s="15">
        <f t="shared" si="23"/>
        <v>186506.14625919788</v>
      </c>
      <c r="V38" s="15">
        <f t="shared" si="23"/>
        <v>190236.26918438182</v>
      </c>
      <c r="W38" s="15">
        <f t="shared" si="23"/>
        <v>194040.99456806944</v>
      </c>
      <c r="X38" s="15">
        <f t="shared" si="23"/>
        <v>197921.81445943087</v>
      </c>
      <c r="Y38" s="15">
        <f t="shared" si="23"/>
        <v>201880.2507486195</v>
      </c>
      <c r="Z38" s="15">
        <f t="shared" si="23"/>
        <v>205917.85576359188</v>
      </c>
      <c r="AA38" s="15">
        <f t="shared" si="23"/>
        <v>210036.21287886373</v>
      </c>
      <c r="AB38" s="15">
        <f t="shared" si="23"/>
        <v>214236.937136441</v>
      </c>
      <c r="AC38" s="15">
        <f t="shared" si="23"/>
        <v>218521.67587916981</v>
      </c>
      <c r="AD38" s="15">
        <f t="shared" si="24"/>
        <v>222892.10939675322</v>
      </c>
      <c r="AE38" s="15">
        <f t="shared" si="24"/>
        <v>227349.9515846883</v>
      </c>
      <c r="AF38" s="15">
        <f t="shared" si="24"/>
        <v>231896.95061638209</v>
      </c>
      <c r="AG38" s="15">
        <f t="shared" si="24"/>
        <v>236534.88962870973</v>
      </c>
      <c r="AH38" s="15">
        <f t="shared" si="24"/>
        <v>241265.58742128391</v>
      </c>
      <c r="AI38" s="15">
        <f t="shared" si="24"/>
        <v>246090.89916970959</v>
      </c>
      <c r="AJ38" s="15">
        <f t="shared" si="24"/>
        <v>251012.71715310379</v>
      </c>
      <c r="AK38" s="15">
        <f t="shared" si="24"/>
        <v>256032.97149616588</v>
      </c>
      <c r="AL38" s="15">
        <f t="shared" si="24"/>
        <v>261153.63092608922</v>
      </c>
      <c r="AM38" s="15">
        <f t="shared" si="24"/>
        <v>266376.70354461099</v>
      </c>
      <c r="AN38" s="15">
        <f t="shared" si="25"/>
        <v>271704.2376155032</v>
      </c>
      <c r="AO38" s="15">
        <f t="shared" si="25"/>
        <v>277138.32236781326</v>
      </c>
      <c r="AP38" s="15">
        <f t="shared" si="25"/>
        <v>282681.08881516958</v>
      </c>
      <c r="AQ38" s="15">
        <f t="shared" si="25"/>
        <v>288334.71059147298</v>
      </c>
      <c r="AR38" s="15">
        <f t="shared" si="25"/>
        <v>294101.40480330243</v>
      </c>
      <c r="AS38" s="15">
        <f t="shared" si="25"/>
        <v>299983.43289936846</v>
      </c>
    </row>
    <row r="39" spans="3:45" x14ac:dyDescent="0.35">
      <c r="C39" t="s">
        <v>13</v>
      </c>
      <c r="E39" t="s">
        <v>90</v>
      </c>
      <c r="F39" t="s">
        <v>102</v>
      </c>
      <c r="G39" s="26">
        <f>Inputs!F20</f>
        <v>2</v>
      </c>
      <c r="I39" s="21">
        <f t="shared" si="26"/>
        <v>10198873.437157044</v>
      </c>
      <c r="J39" s="15">
        <f t="shared" si="22"/>
        <v>0</v>
      </c>
      <c r="K39" s="15">
        <f t="shared" si="22"/>
        <v>204000</v>
      </c>
      <c r="L39" s="15">
        <f t="shared" si="22"/>
        <v>208080</v>
      </c>
      <c r="M39" s="15">
        <f t="shared" si="22"/>
        <v>212241.59999999998</v>
      </c>
      <c r="N39" s="15">
        <f t="shared" si="22"/>
        <v>216486.432</v>
      </c>
      <c r="O39" s="15">
        <f t="shared" si="22"/>
        <v>220816.16064000002</v>
      </c>
      <c r="P39" s="15">
        <f t="shared" si="22"/>
        <v>225232.48385280001</v>
      </c>
      <c r="Q39" s="15">
        <f t="shared" si="22"/>
        <v>229737.13352985602</v>
      </c>
      <c r="R39" s="15">
        <f t="shared" si="22"/>
        <v>234331.87620045315</v>
      </c>
      <c r="S39" s="15">
        <f t="shared" si="22"/>
        <v>239018.51372446222</v>
      </c>
      <c r="T39" s="15">
        <f t="shared" si="23"/>
        <v>243798.88399895147</v>
      </c>
      <c r="U39" s="15">
        <f t="shared" si="23"/>
        <v>248674.86167893049</v>
      </c>
      <c r="V39" s="15">
        <f t="shared" si="23"/>
        <v>253648.35891250911</v>
      </c>
      <c r="W39" s="15">
        <f t="shared" si="23"/>
        <v>258721.32609075925</v>
      </c>
      <c r="X39" s="15">
        <f t="shared" si="23"/>
        <v>263895.75261257449</v>
      </c>
      <c r="Y39" s="15">
        <f t="shared" si="23"/>
        <v>269173.66766482597</v>
      </c>
      <c r="Z39" s="15">
        <f t="shared" si="23"/>
        <v>274557.14101812249</v>
      </c>
      <c r="AA39" s="15">
        <f t="shared" si="23"/>
        <v>280048.28383848496</v>
      </c>
      <c r="AB39" s="15">
        <f t="shared" si="23"/>
        <v>285649.24951525469</v>
      </c>
      <c r="AC39" s="15">
        <f t="shared" si="23"/>
        <v>291362.23450555978</v>
      </c>
      <c r="AD39" s="15">
        <f t="shared" si="24"/>
        <v>297189.47919567098</v>
      </c>
      <c r="AE39" s="15">
        <f t="shared" si="24"/>
        <v>303133.26877958444</v>
      </c>
      <c r="AF39" s="15">
        <f t="shared" si="24"/>
        <v>309195.9341551761</v>
      </c>
      <c r="AG39" s="15">
        <f t="shared" si="24"/>
        <v>315379.85283827962</v>
      </c>
      <c r="AH39" s="15">
        <f t="shared" si="24"/>
        <v>321687.44989504525</v>
      </c>
      <c r="AI39" s="15">
        <f t="shared" si="24"/>
        <v>328121.19889294612</v>
      </c>
      <c r="AJ39" s="15">
        <f t="shared" si="24"/>
        <v>334683.62287080503</v>
      </c>
      <c r="AK39" s="15">
        <f t="shared" si="24"/>
        <v>341377.29532822117</v>
      </c>
      <c r="AL39" s="15">
        <f t="shared" si="24"/>
        <v>348204.84123478562</v>
      </c>
      <c r="AM39" s="15">
        <f t="shared" si="24"/>
        <v>355168.93805948133</v>
      </c>
      <c r="AN39" s="15">
        <f t="shared" si="25"/>
        <v>362272.31682067097</v>
      </c>
      <c r="AO39" s="15">
        <f t="shared" si="25"/>
        <v>369517.76315708435</v>
      </c>
      <c r="AP39" s="15">
        <f t="shared" si="25"/>
        <v>376908.11842022609</v>
      </c>
      <c r="AQ39" s="15">
        <f t="shared" si="25"/>
        <v>384446.28078863065</v>
      </c>
      <c r="AR39" s="15">
        <f t="shared" si="25"/>
        <v>392135.20640440326</v>
      </c>
      <c r="AS39" s="15">
        <f t="shared" si="25"/>
        <v>399977.91053249128</v>
      </c>
    </row>
    <row r="40" spans="3:45" x14ac:dyDescent="0.35">
      <c r="D40" s="19" t="s">
        <v>103</v>
      </c>
      <c r="E40" s="19" t="s">
        <v>90</v>
      </c>
      <c r="F40" s="19"/>
      <c r="G40" s="19"/>
      <c r="H40" s="19"/>
      <c r="I40" s="22">
        <f t="shared" si="26"/>
        <v>53544085.545074508</v>
      </c>
      <c r="J40" s="20">
        <f>SUM(J37:J39)</f>
        <v>0</v>
      </c>
      <c r="K40" s="20">
        <f t="shared" ref="K40:AS40" si="27">SUM(K37:K39)</f>
        <v>1071000</v>
      </c>
      <c r="L40" s="20">
        <f t="shared" si="27"/>
        <v>1092420</v>
      </c>
      <c r="M40" s="20">
        <f t="shared" si="27"/>
        <v>1114268.3999999999</v>
      </c>
      <c r="N40" s="20">
        <f t="shared" si="27"/>
        <v>1136553.7679999999</v>
      </c>
      <c r="O40" s="20">
        <f t="shared" si="27"/>
        <v>1159284.8433600001</v>
      </c>
      <c r="P40" s="20">
        <f t="shared" si="27"/>
        <v>1182470.5402272001</v>
      </c>
      <c r="Q40" s="20">
        <f t="shared" si="27"/>
        <v>1206119.951031744</v>
      </c>
      <c r="R40" s="20">
        <f t="shared" si="27"/>
        <v>1230242.3500523791</v>
      </c>
      <c r="S40" s="20">
        <f t="shared" si="27"/>
        <v>1254847.1970534264</v>
      </c>
      <c r="T40" s="20">
        <f t="shared" si="27"/>
        <v>1279944.1409944952</v>
      </c>
      <c r="U40" s="20">
        <f t="shared" si="27"/>
        <v>1305543.0238143851</v>
      </c>
      <c r="V40" s="20">
        <f t="shared" si="27"/>
        <v>1331653.8842906728</v>
      </c>
      <c r="W40" s="20">
        <f t="shared" si="27"/>
        <v>1358286.9619764863</v>
      </c>
      <c r="X40" s="20">
        <f t="shared" si="27"/>
        <v>1385452.701216016</v>
      </c>
      <c r="Y40" s="20">
        <f t="shared" si="27"/>
        <v>1413161.7552403363</v>
      </c>
      <c r="Z40" s="20">
        <f t="shared" si="27"/>
        <v>1441424.990345143</v>
      </c>
      <c r="AA40" s="20">
        <f t="shared" si="27"/>
        <v>1470253.4901520461</v>
      </c>
      <c r="AB40" s="20">
        <f t="shared" si="27"/>
        <v>1499658.5599550873</v>
      </c>
      <c r="AC40" s="20">
        <f t="shared" si="27"/>
        <v>1529651.7311541887</v>
      </c>
      <c r="AD40" s="20">
        <f t="shared" si="27"/>
        <v>1560244.7657772726</v>
      </c>
      <c r="AE40" s="20">
        <f t="shared" si="27"/>
        <v>1591449.6610928182</v>
      </c>
      <c r="AF40" s="20">
        <f t="shared" si="27"/>
        <v>1623278.6543146747</v>
      </c>
      <c r="AG40" s="20">
        <f t="shared" si="27"/>
        <v>1655744.2274009681</v>
      </c>
      <c r="AH40" s="20">
        <f t="shared" si="27"/>
        <v>1688859.1119489875</v>
      </c>
      <c r="AI40" s="20">
        <f t="shared" si="27"/>
        <v>1722636.2941879672</v>
      </c>
      <c r="AJ40" s="20">
        <f t="shared" si="27"/>
        <v>1757089.0200717265</v>
      </c>
      <c r="AK40" s="20">
        <f t="shared" si="27"/>
        <v>1792230.800473161</v>
      </c>
      <c r="AL40" s="20">
        <f t="shared" si="27"/>
        <v>1828075.4164826246</v>
      </c>
      <c r="AM40" s="20">
        <f t="shared" si="27"/>
        <v>1864636.9248122768</v>
      </c>
      <c r="AN40" s="20">
        <f t="shared" si="27"/>
        <v>1901929.6633085227</v>
      </c>
      <c r="AO40" s="20">
        <f t="shared" si="27"/>
        <v>1939968.2565746929</v>
      </c>
      <c r="AP40" s="20">
        <f t="shared" si="27"/>
        <v>1978767.621706187</v>
      </c>
      <c r="AQ40" s="20">
        <f t="shared" si="27"/>
        <v>2018342.9741403109</v>
      </c>
      <c r="AR40" s="20">
        <f t="shared" si="27"/>
        <v>2058709.8336231171</v>
      </c>
      <c r="AS40" s="20">
        <f t="shared" si="27"/>
        <v>2099884.0302955792</v>
      </c>
    </row>
    <row r="42" spans="3:45" x14ac:dyDescent="0.35">
      <c r="C42" t="s">
        <v>104</v>
      </c>
      <c r="E42" t="s">
        <v>90</v>
      </c>
      <c r="I42" s="21">
        <f>SUM(J42:XFD42)</f>
        <v>165404775.68356684</v>
      </c>
      <c r="J42" s="15">
        <f>J33-J40</f>
        <v>0</v>
      </c>
      <c r="K42" s="15">
        <f t="shared" ref="K42:AS42" si="28">K33-K40</f>
        <v>5023375</v>
      </c>
      <c r="L42" s="15">
        <f t="shared" si="28"/>
        <v>4971483.125</v>
      </c>
      <c r="M42" s="15">
        <f t="shared" si="28"/>
        <v>4919315.2093749996</v>
      </c>
      <c r="N42" s="15">
        <f t="shared" si="28"/>
        <v>4866861.9233281258</v>
      </c>
      <c r="O42" s="15">
        <f t="shared" si="28"/>
        <v>4814113.7695114845</v>
      </c>
      <c r="P42" s="15">
        <f t="shared" si="28"/>
        <v>4761061.079579927</v>
      </c>
      <c r="Q42" s="15">
        <f t="shared" si="28"/>
        <v>4707694.0106763486</v>
      </c>
      <c r="R42" s="15">
        <f t="shared" si="28"/>
        <v>4654002.5418471722</v>
      </c>
      <c r="S42" s="15">
        <f t="shared" si="28"/>
        <v>4599976.4703866262</v>
      </c>
      <c r="T42" s="15">
        <f t="shared" si="28"/>
        <v>4545605.4081083573</v>
      </c>
      <c r="U42" s="15">
        <f t="shared" si="28"/>
        <v>4490878.7775429534</v>
      </c>
      <c r="V42" s="15">
        <f t="shared" si="28"/>
        <v>4435785.8080598786</v>
      </c>
      <c r="W42" s="15">
        <f t="shared" si="28"/>
        <v>4380315.5319123119</v>
      </c>
      <c r="X42" s="15">
        <f t="shared" si="28"/>
        <v>4324456.7802033387</v>
      </c>
      <c r="Y42" s="15">
        <f t="shared" si="28"/>
        <v>4268198.1787719224</v>
      </c>
      <c r="Z42" s="15">
        <f t="shared" si="28"/>
        <v>4211528.1439970536</v>
      </c>
      <c r="AA42" s="15">
        <f t="shared" si="28"/>
        <v>4154434.8785184389</v>
      </c>
      <c r="AB42" s="15">
        <f t="shared" si="28"/>
        <v>4096906.3668720461</v>
      </c>
      <c r="AC42" s="15">
        <f t="shared" si="28"/>
        <v>4038930.3710388094</v>
      </c>
      <c r="AD42" s="15">
        <f t="shared" si="28"/>
        <v>3980494.4259047606</v>
      </c>
      <c r="AE42" s="15">
        <f t="shared" si="28"/>
        <v>5496738.8334089816</v>
      </c>
      <c r="AF42" s="15">
        <f t="shared" si="28"/>
        <v>5429468.8977146167</v>
      </c>
      <c r="AG42" s="15">
        <f t="shared" si="28"/>
        <v>5361739.5868681762</v>
      </c>
      <c r="AH42" s="15">
        <f t="shared" si="28"/>
        <v>5293537.283248811</v>
      </c>
      <c r="AI42" s="15">
        <f t="shared" si="28"/>
        <v>5224848.1190338433</v>
      </c>
      <c r="AJ42" s="15">
        <f t="shared" si="28"/>
        <v>5155657.9710839754</v>
      </c>
      <c r="AK42" s="15">
        <f t="shared" si="28"/>
        <v>5085952.4557267623</v>
      </c>
      <c r="AL42" s="15">
        <f t="shared" si="28"/>
        <v>5015716.9234362999</v>
      </c>
      <c r="AM42" s="15">
        <f t="shared" si="28"/>
        <v>4944936.453407052</v>
      </c>
      <c r="AN42" s="15">
        <f t="shared" si="28"/>
        <v>4873595.8480197098</v>
      </c>
      <c r="AO42" s="15">
        <f t="shared" si="28"/>
        <v>4801679.6271968987</v>
      </c>
      <c r="AP42" s="15">
        <f t="shared" si="28"/>
        <v>4729172.0226465464</v>
      </c>
      <c r="AQ42" s="15">
        <f t="shared" si="28"/>
        <v>4656056.9719906589</v>
      </c>
      <c r="AR42" s="15">
        <f t="shared" si="28"/>
        <v>4582318.1127771977</v>
      </c>
      <c r="AS42" s="15">
        <f t="shared" si="28"/>
        <v>4507938.7763727345</v>
      </c>
    </row>
    <row r="44" spans="3:45" x14ac:dyDescent="0.35">
      <c r="C44" t="s">
        <v>86</v>
      </c>
      <c r="E44" t="s">
        <v>90</v>
      </c>
      <c r="I44" s="21">
        <f>SUM(J44:XFD44)</f>
        <v>65404775.683566824</v>
      </c>
      <c r="J44" s="15">
        <f>J42-J21</f>
        <v>-100000000</v>
      </c>
      <c r="K44" s="15">
        <f t="shared" ref="K44:AS44" si="29">K42-K21</f>
        <v>5023375</v>
      </c>
      <c r="L44" s="15">
        <f t="shared" si="29"/>
        <v>4971483.125</v>
      </c>
      <c r="M44" s="15">
        <f t="shared" si="29"/>
        <v>4919315.2093749996</v>
      </c>
      <c r="N44" s="15">
        <f t="shared" si="29"/>
        <v>4866861.9233281258</v>
      </c>
      <c r="O44" s="15">
        <f t="shared" si="29"/>
        <v>4814113.7695114845</v>
      </c>
      <c r="P44" s="15">
        <f t="shared" si="29"/>
        <v>4761061.079579927</v>
      </c>
      <c r="Q44" s="15">
        <f t="shared" si="29"/>
        <v>4707694.0106763486</v>
      </c>
      <c r="R44" s="15">
        <f t="shared" si="29"/>
        <v>4654002.5418471722</v>
      </c>
      <c r="S44" s="15">
        <f t="shared" si="29"/>
        <v>4599976.4703866262</v>
      </c>
      <c r="T44" s="15">
        <f t="shared" si="29"/>
        <v>4545605.4081083573</v>
      </c>
      <c r="U44" s="15">
        <f t="shared" si="29"/>
        <v>4490878.7775429534</v>
      </c>
      <c r="V44" s="15">
        <f t="shared" si="29"/>
        <v>4435785.8080598786</v>
      </c>
      <c r="W44" s="15">
        <f t="shared" si="29"/>
        <v>4380315.5319123119</v>
      </c>
      <c r="X44" s="15">
        <f t="shared" si="29"/>
        <v>4324456.7802033387</v>
      </c>
      <c r="Y44" s="15">
        <f t="shared" si="29"/>
        <v>4268198.1787719224</v>
      </c>
      <c r="Z44" s="15">
        <f t="shared" si="29"/>
        <v>4211528.1439970536</v>
      </c>
      <c r="AA44" s="15">
        <f t="shared" si="29"/>
        <v>4154434.8785184389</v>
      </c>
      <c r="AB44" s="15">
        <f t="shared" si="29"/>
        <v>4096906.3668720461</v>
      </c>
      <c r="AC44" s="15">
        <f t="shared" si="29"/>
        <v>4038930.3710388094</v>
      </c>
      <c r="AD44" s="15">
        <f t="shared" si="29"/>
        <v>3980494.4259047606</v>
      </c>
      <c r="AE44" s="15">
        <f t="shared" si="29"/>
        <v>5496738.8334089816</v>
      </c>
      <c r="AF44" s="15">
        <f t="shared" si="29"/>
        <v>5429468.8977146167</v>
      </c>
      <c r="AG44" s="15">
        <f t="shared" si="29"/>
        <v>5361739.5868681762</v>
      </c>
      <c r="AH44" s="15">
        <f t="shared" si="29"/>
        <v>5293537.283248811</v>
      </c>
      <c r="AI44" s="15">
        <f t="shared" si="29"/>
        <v>5224848.1190338433</v>
      </c>
      <c r="AJ44" s="15">
        <f t="shared" si="29"/>
        <v>5155657.9710839754</v>
      </c>
      <c r="AK44" s="15">
        <f t="shared" si="29"/>
        <v>5085952.4557267623</v>
      </c>
      <c r="AL44" s="15">
        <f t="shared" si="29"/>
        <v>5015716.9234362999</v>
      </c>
      <c r="AM44" s="15">
        <f t="shared" si="29"/>
        <v>4944936.453407052</v>
      </c>
      <c r="AN44" s="15">
        <f t="shared" si="29"/>
        <v>4873595.8480197098</v>
      </c>
      <c r="AO44" s="15">
        <f t="shared" si="29"/>
        <v>4801679.6271968987</v>
      </c>
      <c r="AP44" s="15">
        <f t="shared" si="29"/>
        <v>4729172.0226465464</v>
      </c>
      <c r="AQ44" s="15">
        <f t="shared" si="29"/>
        <v>4656056.9719906589</v>
      </c>
      <c r="AR44" s="15">
        <f t="shared" si="29"/>
        <v>4582318.1127771977</v>
      </c>
      <c r="AS44" s="15">
        <f t="shared" si="29"/>
        <v>4507938.7763727345</v>
      </c>
    </row>
    <row r="46" spans="3:45" x14ac:dyDescent="0.35">
      <c r="C46" t="s">
        <v>106</v>
      </c>
      <c r="E46" s="16">
        <f>IRR(J44:AS44)</f>
        <v>3.0886781250105466E-2</v>
      </c>
    </row>
  </sheetData>
  <conditionalFormatting sqref="A1:XFD1048576">
    <cfRule type="expression" dxfId="35" priority="7">
      <formula>AND(A1&lt;&gt;"",A1=FALSE)</formula>
    </cfRule>
    <cfRule type="expression" dxfId="34" priority="8">
      <formula>A1=TRUE</formula>
    </cfRule>
  </conditionalFormatting>
  <conditionalFormatting sqref="J6:AAA6">
    <cfRule type="expression" dxfId="33" priority="5">
      <formula>AND(J6=0,J6&lt;&gt;"")</formula>
    </cfRule>
    <cfRule type="expression" dxfId="32" priority="6">
      <formula>J6=1</formula>
    </cfRule>
  </conditionalFormatting>
  <conditionalFormatting sqref="J7:AAA7">
    <cfRule type="expression" dxfId="31" priority="3">
      <formula>AND(J7=0,J7&lt;&gt;"")</formula>
    </cfRule>
    <cfRule type="expression" dxfId="30" priority="4">
      <formula>J7=1</formula>
    </cfRule>
  </conditionalFormatting>
  <conditionalFormatting sqref="J8:AAA8">
    <cfRule type="expression" dxfId="29" priority="1">
      <formula>AND(J8=0,J8&lt;&gt;"")</formula>
    </cfRule>
    <cfRule type="expression" dxfId="28" priority="2">
      <formula>J8=1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1455-7A6F-4BF5-8C8B-2F16AA401978}">
  <sheetPr codeName="Sheet4"/>
  <dimension ref="B1:ALR47"/>
  <sheetViews>
    <sheetView showGridLines="0" zoomScale="80" zoomScaleNormal="8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K1" sqref="K1"/>
    </sheetView>
  </sheetViews>
  <sheetFormatPr defaultRowHeight="14.5" outlineLevelRow="1" x14ac:dyDescent="0.35"/>
  <cols>
    <col min="1" max="3" width="1.6328125" style="33" customWidth="1"/>
    <col min="4" max="4" width="26.90625" style="33" customWidth="1"/>
    <col min="5" max="6" width="10.36328125" style="33" customWidth="1"/>
    <col min="7" max="7" width="11.54296875" style="33" customWidth="1"/>
    <col min="8" max="8" width="10.36328125" style="33" customWidth="1"/>
    <col min="9" max="9" width="14.6328125" style="33" customWidth="1"/>
    <col min="10" max="10" width="13.6328125" style="33" bestFit="1" customWidth="1"/>
    <col min="11" max="45" width="11.90625" style="33" customWidth="1"/>
    <col min="46" max="16384" width="8.7265625" style="33"/>
  </cols>
  <sheetData>
    <row r="1" spans="2:1006" s="29" customFormat="1" ht="29" x14ac:dyDescent="0.35">
      <c r="B1" s="29" t="s">
        <v>68</v>
      </c>
      <c r="E1" s="30" t="s">
        <v>88</v>
      </c>
      <c r="F1" s="30" t="s">
        <v>89</v>
      </c>
      <c r="G1" s="31" t="s">
        <v>83</v>
      </c>
      <c r="H1" s="31" t="s">
        <v>83</v>
      </c>
      <c r="I1" s="31" t="s">
        <v>84</v>
      </c>
    </row>
    <row r="2" spans="2:1006" s="29" customFormat="1" outlineLevel="1" x14ac:dyDescent="0.35">
      <c r="C2" s="29" t="s">
        <v>71</v>
      </c>
      <c r="J2" s="29">
        <v>0</v>
      </c>
      <c r="K2" s="29">
        <v>1</v>
      </c>
      <c r="L2" s="29">
        <v>2</v>
      </c>
      <c r="M2" s="29">
        <v>3</v>
      </c>
      <c r="N2" s="29">
        <v>4</v>
      </c>
      <c r="O2" s="29">
        <v>5</v>
      </c>
      <c r="P2" s="29">
        <v>6</v>
      </c>
      <c r="Q2" s="29">
        <v>7</v>
      </c>
      <c r="R2" s="29">
        <v>8</v>
      </c>
      <c r="S2" s="29">
        <v>9</v>
      </c>
      <c r="T2" s="29">
        <v>10</v>
      </c>
      <c r="U2" s="29">
        <v>11</v>
      </c>
      <c r="V2" s="29">
        <v>12</v>
      </c>
      <c r="W2" s="29">
        <v>13</v>
      </c>
      <c r="X2" s="29">
        <v>14</v>
      </c>
      <c r="Y2" s="29">
        <v>15</v>
      </c>
      <c r="Z2" s="29">
        <v>16</v>
      </c>
      <c r="AA2" s="29">
        <v>17</v>
      </c>
      <c r="AB2" s="29">
        <v>18</v>
      </c>
      <c r="AC2" s="29">
        <v>19</v>
      </c>
      <c r="AD2" s="29">
        <v>20</v>
      </c>
      <c r="AE2" s="29">
        <v>21</v>
      </c>
      <c r="AF2" s="29">
        <v>22</v>
      </c>
      <c r="AG2" s="29">
        <v>23</v>
      </c>
      <c r="AH2" s="29">
        <v>24</v>
      </c>
      <c r="AI2" s="29">
        <v>25</v>
      </c>
      <c r="AJ2" s="29">
        <v>26</v>
      </c>
      <c r="AK2" s="29">
        <v>27</v>
      </c>
      <c r="AL2" s="29">
        <v>28</v>
      </c>
      <c r="AM2" s="29">
        <v>29</v>
      </c>
      <c r="AN2" s="29">
        <v>30</v>
      </c>
      <c r="AO2" s="29">
        <v>31</v>
      </c>
      <c r="AP2" s="29">
        <v>32</v>
      </c>
      <c r="AQ2" s="29">
        <v>33</v>
      </c>
      <c r="AR2" s="29">
        <v>34</v>
      </c>
      <c r="AS2" s="29">
        <v>35</v>
      </c>
    </row>
    <row r="3" spans="2:1006" s="29" customFormat="1" outlineLevel="1" x14ac:dyDescent="0.35">
      <c r="C3" s="29" t="s">
        <v>69</v>
      </c>
      <c r="J3" s="32">
        <v>43831</v>
      </c>
      <c r="K3" s="32">
        <f>J4+1</f>
        <v>44197</v>
      </c>
      <c r="L3" s="32">
        <f t="shared" ref="L3:AS3" si="0">K4+1</f>
        <v>44562</v>
      </c>
      <c r="M3" s="32">
        <f t="shared" si="0"/>
        <v>44927</v>
      </c>
      <c r="N3" s="32">
        <f t="shared" si="0"/>
        <v>45292</v>
      </c>
      <c r="O3" s="32">
        <f t="shared" si="0"/>
        <v>45658</v>
      </c>
      <c r="P3" s="32">
        <f t="shared" si="0"/>
        <v>46023</v>
      </c>
      <c r="Q3" s="32">
        <f t="shared" si="0"/>
        <v>46388</v>
      </c>
      <c r="R3" s="32">
        <f t="shared" si="0"/>
        <v>46753</v>
      </c>
      <c r="S3" s="32">
        <f t="shared" si="0"/>
        <v>47119</v>
      </c>
      <c r="T3" s="32">
        <f t="shared" si="0"/>
        <v>47484</v>
      </c>
      <c r="U3" s="32">
        <f t="shared" si="0"/>
        <v>47849</v>
      </c>
      <c r="V3" s="32">
        <f t="shared" si="0"/>
        <v>48214</v>
      </c>
      <c r="W3" s="32">
        <f t="shared" si="0"/>
        <v>48580</v>
      </c>
      <c r="X3" s="32">
        <f t="shared" si="0"/>
        <v>48945</v>
      </c>
      <c r="Y3" s="32">
        <f t="shared" si="0"/>
        <v>49310</v>
      </c>
      <c r="Z3" s="32">
        <f t="shared" si="0"/>
        <v>49675</v>
      </c>
      <c r="AA3" s="32">
        <f t="shared" si="0"/>
        <v>50041</v>
      </c>
      <c r="AB3" s="32">
        <f t="shared" si="0"/>
        <v>50406</v>
      </c>
      <c r="AC3" s="32">
        <f t="shared" si="0"/>
        <v>50771</v>
      </c>
      <c r="AD3" s="32">
        <f t="shared" si="0"/>
        <v>51136</v>
      </c>
      <c r="AE3" s="32">
        <f t="shared" si="0"/>
        <v>51502</v>
      </c>
      <c r="AF3" s="32">
        <f t="shared" si="0"/>
        <v>51867</v>
      </c>
      <c r="AG3" s="32">
        <f t="shared" si="0"/>
        <v>52232</v>
      </c>
      <c r="AH3" s="32">
        <f t="shared" si="0"/>
        <v>52597</v>
      </c>
      <c r="AI3" s="32">
        <f t="shared" si="0"/>
        <v>52963</v>
      </c>
      <c r="AJ3" s="32">
        <f t="shared" si="0"/>
        <v>53328</v>
      </c>
      <c r="AK3" s="32">
        <f t="shared" si="0"/>
        <v>53693</v>
      </c>
      <c r="AL3" s="32">
        <f t="shared" si="0"/>
        <v>54058</v>
      </c>
      <c r="AM3" s="32">
        <f t="shared" si="0"/>
        <v>54424</v>
      </c>
      <c r="AN3" s="32">
        <f t="shared" si="0"/>
        <v>54789</v>
      </c>
      <c r="AO3" s="32">
        <f t="shared" si="0"/>
        <v>55154</v>
      </c>
      <c r="AP3" s="32">
        <f t="shared" si="0"/>
        <v>55519</v>
      </c>
      <c r="AQ3" s="32">
        <f t="shared" si="0"/>
        <v>55885</v>
      </c>
      <c r="AR3" s="32">
        <f t="shared" si="0"/>
        <v>56250</v>
      </c>
      <c r="AS3" s="32">
        <f t="shared" si="0"/>
        <v>56615</v>
      </c>
    </row>
    <row r="4" spans="2:1006" s="29" customFormat="1" outlineLevel="1" x14ac:dyDescent="0.35">
      <c r="C4" s="29" t="s">
        <v>70</v>
      </c>
      <c r="J4" s="32">
        <f>Inputs!$F$8</f>
        <v>44196</v>
      </c>
      <c r="K4" s="32">
        <f>EOMONTH(K3,11)</f>
        <v>44561</v>
      </c>
      <c r="L4" s="32">
        <f t="shared" ref="L4:AS4" si="1">EOMONTH(L3,11)</f>
        <v>44926</v>
      </c>
      <c r="M4" s="32">
        <f t="shared" si="1"/>
        <v>45291</v>
      </c>
      <c r="N4" s="32">
        <f t="shared" si="1"/>
        <v>45657</v>
      </c>
      <c r="O4" s="32">
        <f t="shared" si="1"/>
        <v>46022</v>
      </c>
      <c r="P4" s="32">
        <f t="shared" si="1"/>
        <v>46387</v>
      </c>
      <c r="Q4" s="32">
        <f t="shared" si="1"/>
        <v>46752</v>
      </c>
      <c r="R4" s="32">
        <f t="shared" si="1"/>
        <v>47118</v>
      </c>
      <c r="S4" s="32">
        <f t="shared" si="1"/>
        <v>47483</v>
      </c>
      <c r="T4" s="32">
        <f t="shared" si="1"/>
        <v>47848</v>
      </c>
      <c r="U4" s="32">
        <f t="shared" si="1"/>
        <v>48213</v>
      </c>
      <c r="V4" s="32">
        <f t="shared" si="1"/>
        <v>48579</v>
      </c>
      <c r="W4" s="32">
        <f t="shared" si="1"/>
        <v>48944</v>
      </c>
      <c r="X4" s="32">
        <f t="shared" si="1"/>
        <v>49309</v>
      </c>
      <c r="Y4" s="32">
        <f t="shared" si="1"/>
        <v>49674</v>
      </c>
      <c r="Z4" s="32">
        <f t="shared" si="1"/>
        <v>50040</v>
      </c>
      <c r="AA4" s="32">
        <f t="shared" si="1"/>
        <v>50405</v>
      </c>
      <c r="AB4" s="32">
        <f t="shared" si="1"/>
        <v>50770</v>
      </c>
      <c r="AC4" s="32">
        <f t="shared" si="1"/>
        <v>51135</v>
      </c>
      <c r="AD4" s="32">
        <f t="shared" si="1"/>
        <v>51501</v>
      </c>
      <c r="AE4" s="32">
        <f t="shared" si="1"/>
        <v>51866</v>
      </c>
      <c r="AF4" s="32">
        <f t="shared" si="1"/>
        <v>52231</v>
      </c>
      <c r="AG4" s="32">
        <f t="shared" si="1"/>
        <v>52596</v>
      </c>
      <c r="AH4" s="32">
        <f t="shared" si="1"/>
        <v>52962</v>
      </c>
      <c r="AI4" s="32">
        <f t="shared" si="1"/>
        <v>53327</v>
      </c>
      <c r="AJ4" s="32">
        <f t="shared" si="1"/>
        <v>53692</v>
      </c>
      <c r="AK4" s="32">
        <f t="shared" si="1"/>
        <v>54057</v>
      </c>
      <c r="AL4" s="32">
        <f t="shared" si="1"/>
        <v>54423</v>
      </c>
      <c r="AM4" s="32">
        <f t="shared" si="1"/>
        <v>54788</v>
      </c>
      <c r="AN4" s="32">
        <f t="shared" si="1"/>
        <v>55153</v>
      </c>
      <c r="AO4" s="32">
        <f t="shared" si="1"/>
        <v>55518</v>
      </c>
      <c r="AP4" s="32">
        <f t="shared" si="1"/>
        <v>55884</v>
      </c>
      <c r="AQ4" s="32">
        <f t="shared" si="1"/>
        <v>56249</v>
      </c>
      <c r="AR4" s="32">
        <f t="shared" si="1"/>
        <v>56614</v>
      </c>
      <c r="AS4" s="32">
        <f t="shared" si="1"/>
        <v>56979</v>
      </c>
    </row>
    <row r="5" spans="2:1006" s="29" customFormat="1" outlineLevel="1" x14ac:dyDescent="0.35"/>
    <row r="6" spans="2:1006" s="29" customFormat="1" outlineLevel="1" x14ac:dyDescent="0.35">
      <c r="C6" s="29" t="s">
        <v>72</v>
      </c>
      <c r="E6" s="29" t="s">
        <v>73</v>
      </c>
      <c r="G6" s="29">
        <f>Inputs!F12</f>
        <v>20</v>
      </c>
      <c r="I6" s="29">
        <f>SUM(J6:XFD6)</f>
        <v>20</v>
      </c>
      <c r="J6" s="29">
        <f t="shared" ref="J6:AS6" si="2">AND(J2&gt;0,J2&lt;=$G$6)*1</f>
        <v>0</v>
      </c>
      <c r="K6" s="29">
        <f t="shared" si="2"/>
        <v>1</v>
      </c>
      <c r="L6" s="29">
        <f t="shared" si="2"/>
        <v>1</v>
      </c>
      <c r="M6" s="29">
        <f t="shared" si="2"/>
        <v>1</v>
      </c>
      <c r="N6" s="29">
        <f t="shared" si="2"/>
        <v>1</v>
      </c>
      <c r="O6" s="29">
        <f t="shared" si="2"/>
        <v>1</v>
      </c>
      <c r="P6" s="29">
        <f t="shared" si="2"/>
        <v>1</v>
      </c>
      <c r="Q6" s="29">
        <f t="shared" si="2"/>
        <v>1</v>
      </c>
      <c r="R6" s="29">
        <f t="shared" si="2"/>
        <v>1</v>
      </c>
      <c r="S6" s="29">
        <f t="shared" si="2"/>
        <v>1</v>
      </c>
      <c r="T6" s="29">
        <f t="shared" si="2"/>
        <v>1</v>
      </c>
      <c r="U6" s="29">
        <f t="shared" si="2"/>
        <v>1</v>
      </c>
      <c r="V6" s="29">
        <f t="shared" si="2"/>
        <v>1</v>
      </c>
      <c r="W6" s="29">
        <f t="shared" si="2"/>
        <v>1</v>
      </c>
      <c r="X6" s="29">
        <f t="shared" si="2"/>
        <v>1</v>
      </c>
      <c r="Y6" s="29">
        <f t="shared" si="2"/>
        <v>1</v>
      </c>
      <c r="Z6" s="29">
        <f t="shared" si="2"/>
        <v>1</v>
      </c>
      <c r="AA6" s="29">
        <f t="shared" si="2"/>
        <v>1</v>
      </c>
      <c r="AB6" s="29">
        <f t="shared" si="2"/>
        <v>1</v>
      </c>
      <c r="AC6" s="29">
        <f t="shared" si="2"/>
        <v>1</v>
      </c>
      <c r="AD6" s="29">
        <f t="shared" si="2"/>
        <v>1</v>
      </c>
      <c r="AE6" s="29">
        <f t="shared" si="2"/>
        <v>0</v>
      </c>
      <c r="AF6" s="29">
        <f t="shared" si="2"/>
        <v>0</v>
      </c>
      <c r="AG6" s="29">
        <f t="shared" si="2"/>
        <v>0</v>
      </c>
      <c r="AH6" s="29">
        <f t="shared" si="2"/>
        <v>0</v>
      </c>
      <c r="AI6" s="29">
        <f t="shared" si="2"/>
        <v>0</v>
      </c>
      <c r="AJ6" s="29">
        <f t="shared" si="2"/>
        <v>0</v>
      </c>
      <c r="AK6" s="29">
        <f t="shared" si="2"/>
        <v>0</v>
      </c>
      <c r="AL6" s="29">
        <f t="shared" si="2"/>
        <v>0</v>
      </c>
      <c r="AM6" s="29">
        <f t="shared" si="2"/>
        <v>0</v>
      </c>
      <c r="AN6" s="29">
        <f t="shared" si="2"/>
        <v>0</v>
      </c>
      <c r="AO6" s="29">
        <f t="shared" si="2"/>
        <v>0</v>
      </c>
      <c r="AP6" s="29">
        <f t="shared" si="2"/>
        <v>0</v>
      </c>
      <c r="AQ6" s="29">
        <f t="shared" si="2"/>
        <v>0</v>
      </c>
      <c r="AR6" s="29">
        <f t="shared" si="2"/>
        <v>0</v>
      </c>
      <c r="AS6" s="29">
        <f t="shared" si="2"/>
        <v>0</v>
      </c>
    </row>
    <row r="7" spans="2:1006" s="29" customFormat="1" outlineLevel="1" x14ac:dyDescent="0.35">
      <c r="C7" s="29" t="s">
        <v>74</v>
      </c>
      <c r="E7" s="29" t="s">
        <v>73</v>
      </c>
      <c r="G7" s="29">
        <f>G6+1</f>
        <v>21</v>
      </c>
      <c r="H7" s="29">
        <f>Inputs!F6</f>
        <v>35</v>
      </c>
      <c r="I7" s="29">
        <f>SUM(J7:XFD7)</f>
        <v>15</v>
      </c>
      <c r="J7" s="29">
        <f t="shared" ref="J7:AS7" si="3">(AND(J2&gt;=$G$7,J2&lt;=$H$7))*1</f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29">
        <f t="shared" si="3"/>
        <v>0</v>
      </c>
      <c r="P7" s="29">
        <f t="shared" si="3"/>
        <v>0</v>
      </c>
      <c r="Q7" s="29">
        <f t="shared" si="3"/>
        <v>0</v>
      </c>
      <c r="R7" s="29">
        <f t="shared" si="3"/>
        <v>0</v>
      </c>
      <c r="S7" s="29">
        <f t="shared" si="3"/>
        <v>0</v>
      </c>
      <c r="T7" s="29">
        <f t="shared" si="3"/>
        <v>0</v>
      </c>
      <c r="U7" s="29">
        <f t="shared" si="3"/>
        <v>0</v>
      </c>
      <c r="V7" s="29">
        <f t="shared" si="3"/>
        <v>0</v>
      </c>
      <c r="W7" s="29">
        <f t="shared" si="3"/>
        <v>0</v>
      </c>
      <c r="X7" s="29">
        <f t="shared" si="3"/>
        <v>0</v>
      </c>
      <c r="Y7" s="29">
        <f t="shared" si="3"/>
        <v>0</v>
      </c>
      <c r="Z7" s="29">
        <f t="shared" si="3"/>
        <v>0</v>
      </c>
      <c r="AA7" s="29">
        <f t="shared" si="3"/>
        <v>0</v>
      </c>
      <c r="AB7" s="29">
        <f t="shared" si="3"/>
        <v>0</v>
      </c>
      <c r="AC7" s="29">
        <f t="shared" si="3"/>
        <v>0</v>
      </c>
      <c r="AD7" s="29">
        <f t="shared" si="3"/>
        <v>0</v>
      </c>
      <c r="AE7" s="29">
        <f t="shared" si="3"/>
        <v>1</v>
      </c>
      <c r="AF7" s="29">
        <f t="shared" si="3"/>
        <v>1</v>
      </c>
      <c r="AG7" s="29">
        <f t="shared" si="3"/>
        <v>1</v>
      </c>
      <c r="AH7" s="29">
        <f t="shared" si="3"/>
        <v>1</v>
      </c>
      <c r="AI7" s="29">
        <f t="shared" si="3"/>
        <v>1</v>
      </c>
      <c r="AJ7" s="29">
        <f t="shared" si="3"/>
        <v>1</v>
      </c>
      <c r="AK7" s="29">
        <f t="shared" si="3"/>
        <v>1</v>
      </c>
      <c r="AL7" s="29">
        <f t="shared" si="3"/>
        <v>1</v>
      </c>
      <c r="AM7" s="29">
        <f t="shared" si="3"/>
        <v>1</v>
      </c>
      <c r="AN7" s="29">
        <f t="shared" si="3"/>
        <v>1</v>
      </c>
      <c r="AO7" s="29">
        <f t="shared" si="3"/>
        <v>1</v>
      </c>
      <c r="AP7" s="29">
        <f t="shared" si="3"/>
        <v>1</v>
      </c>
      <c r="AQ7" s="29">
        <f t="shared" si="3"/>
        <v>1</v>
      </c>
      <c r="AR7" s="29">
        <f t="shared" si="3"/>
        <v>1</v>
      </c>
      <c r="AS7" s="29">
        <f t="shared" si="3"/>
        <v>1</v>
      </c>
    </row>
    <row r="8" spans="2:1006" s="29" customFormat="1" outlineLevel="1" x14ac:dyDescent="0.35">
      <c r="C8" s="29" t="s">
        <v>75</v>
      </c>
      <c r="E8" s="29" t="s">
        <v>73</v>
      </c>
      <c r="I8" s="29">
        <f>SUM(J8:XFD8)</f>
        <v>35</v>
      </c>
      <c r="J8" s="29">
        <f>(OR(J6,J7))*1</f>
        <v>0</v>
      </c>
      <c r="K8" s="29">
        <f t="shared" ref="K8:AS8" si="4">(OR(K6,K7))*1</f>
        <v>1</v>
      </c>
      <c r="L8" s="29">
        <f t="shared" si="4"/>
        <v>1</v>
      </c>
      <c r="M8" s="29">
        <f t="shared" si="4"/>
        <v>1</v>
      </c>
      <c r="N8" s="29">
        <f t="shared" si="4"/>
        <v>1</v>
      </c>
      <c r="O8" s="29">
        <f t="shared" si="4"/>
        <v>1</v>
      </c>
      <c r="P8" s="29">
        <f t="shared" si="4"/>
        <v>1</v>
      </c>
      <c r="Q8" s="29">
        <f t="shared" si="4"/>
        <v>1</v>
      </c>
      <c r="R8" s="29">
        <f t="shared" si="4"/>
        <v>1</v>
      </c>
      <c r="S8" s="29">
        <f t="shared" si="4"/>
        <v>1</v>
      </c>
      <c r="T8" s="29">
        <f t="shared" si="4"/>
        <v>1</v>
      </c>
      <c r="U8" s="29">
        <f t="shared" si="4"/>
        <v>1</v>
      </c>
      <c r="V8" s="29">
        <f t="shared" si="4"/>
        <v>1</v>
      </c>
      <c r="W8" s="29">
        <f t="shared" si="4"/>
        <v>1</v>
      </c>
      <c r="X8" s="29">
        <f t="shared" si="4"/>
        <v>1</v>
      </c>
      <c r="Y8" s="29">
        <f t="shared" si="4"/>
        <v>1</v>
      </c>
      <c r="Z8" s="29">
        <f t="shared" si="4"/>
        <v>1</v>
      </c>
      <c r="AA8" s="29">
        <f t="shared" si="4"/>
        <v>1</v>
      </c>
      <c r="AB8" s="29">
        <f t="shared" si="4"/>
        <v>1</v>
      </c>
      <c r="AC8" s="29">
        <f t="shared" si="4"/>
        <v>1</v>
      </c>
      <c r="AD8" s="29">
        <f t="shared" si="4"/>
        <v>1</v>
      </c>
      <c r="AE8" s="29">
        <f t="shared" si="4"/>
        <v>1</v>
      </c>
      <c r="AF8" s="29">
        <f t="shared" si="4"/>
        <v>1</v>
      </c>
      <c r="AG8" s="29">
        <f t="shared" si="4"/>
        <v>1</v>
      </c>
      <c r="AH8" s="29">
        <f t="shared" si="4"/>
        <v>1</v>
      </c>
      <c r="AI8" s="29">
        <f t="shared" si="4"/>
        <v>1</v>
      </c>
      <c r="AJ8" s="29">
        <f t="shared" si="4"/>
        <v>1</v>
      </c>
      <c r="AK8" s="29">
        <f t="shared" si="4"/>
        <v>1</v>
      </c>
      <c r="AL8" s="29">
        <f t="shared" si="4"/>
        <v>1</v>
      </c>
      <c r="AM8" s="29">
        <f t="shared" si="4"/>
        <v>1</v>
      </c>
      <c r="AN8" s="29">
        <f t="shared" si="4"/>
        <v>1</v>
      </c>
      <c r="AO8" s="29">
        <f t="shared" si="4"/>
        <v>1</v>
      </c>
      <c r="AP8" s="29">
        <f t="shared" si="4"/>
        <v>1</v>
      </c>
      <c r="AQ8" s="29">
        <f t="shared" si="4"/>
        <v>1</v>
      </c>
      <c r="AR8" s="29">
        <f t="shared" si="4"/>
        <v>1</v>
      </c>
      <c r="AS8" s="29">
        <f t="shared" si="4"/>
        <v>1</v>
      </c>
    </row>
    <row r="9" spans="2:1006" outlineLevel="1" x14ac:dyDescent="0.35"/>
    <row r="10" spans="2:1006" x14ac:dyDescent="0.35">
      <c r="B10" s="28" t="s">
        <v>107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</row>
    <row r="11" spans="2:1006" outlineLevel="1" x14ac:dyDescent="0.35">
      <c r="C11" s="33" t="s">
        <v>87</v>
      </c>
      <c r="E11" s="33" t="s">
        <v>90</v>
      </c>
      <c r="I11" s="21">
        <f>SUM(J11:XFD11)</f>
        <v>100000000</v>
      </c>
      <c r="J11" s="24">
        <f>'SPV Operating Cash'!J21</f>
        <v>100000000</v>
      </c>
      <c r="K11" s="24">
        <f>'SPV Operating Cash'!K21</f>
        <v>0</v>
      </c>
      <c r="L11" s="24">
        <f>'SPV Operating Cash'!L21</f>
        <v>0</v>
      </c>
      <c r="M11" s="24">
        <f>'SPV Operating Cash'!M21</f>
        <v>0</v>
      </c>
      <c r="N11" s="24">
        <f>'SPV Operating Cash'!N21</f>
        <v>0</v>
      </c>
      <c r="O11" s="24">
        <f>'SPV Operating Cash'!O21</f>
        <v>0</v>
      </c>
      <c r="P11" s="24">
        <f>'SPV Operating Cash'!P21</f>
        <v>0</v>
      </c>
      <c r="Q11" s="24">
        <f>'SPV Operating Cash'!Q21</f>
        <v>0</v>
      </c>
      <c r="R11" s="24">
        <f>'SPV Operating Cash'!R21</f>
        <v>0</v>
      </c>
      <c r="S11" s="24">
        <f>'SPV Operating Cash'!S21</f>
        <v>0</v>
      </c>
      <c r="T11" s="24">
        <f>'SPV Operating Cash'!T21</f>
        <v>0</v>
      </c>
      <c r="U11" s="24">
        <f>'SPV Operating Cash'!U21</f>
        <v>0</v>
      </c>
      <c r="V11" s="24">
        <f>'SPV Operating Cash'!V21</f>
        <v>0</v>
      </c>
      <c r="W11" s="24">
        <f>'SPV Operating Cash'!W21</f>
        <v>0</v>
      </c>
      <c r="X11" s="24">
        <f>'SPV Operating Cash'!X21</f>
        <v>0</v>
      </c>
      <c r="Y11" s="24">
        <f>'SPV Operating Cash'!Y21</f>
        <v>0</v>
      </c>
      <c r="Z11" s="24">
        <f>'SPV Operating Cash'!Z21</f>
        <v>0</v>
      </c>
      <c r="AA11" s="24">
        <f>'SPV Operating Cash'!AA21</f>
        <v>0</v>
      </c>
      <c r="AB11" s="24">
        <f>'SPV Operating Cash'!AB21</f>
        <v>0</v>
      </c>
      <c r="AC11" s="24">
        <f>'SPV Operating Cash'!AC21</f>
        <v>0</v>
      </c>
      <c r="AD11" s="24">
        <f>'SPV Operating Cash'!AD21</f>
        <v>0</v>
      </c>
      <c r="AE11" s="24">
        <f>'SPV Operating Cash'!AE21</f>
        <v>0</v>
      </c>
      <c r="AF11" s="24">
        <f>'SPV Operating Cash'!AF21</f>
        <v>0</v>
      </c>
      <c r="AG11" s="24">
        <f>'SPV Operating Cash'!AG21</f>
        <v>0</v>
      </c>
      <c r="AH11" s="24">
        <f>'SPV Operating Cash'!AH21</f>
        <v>0</v>
      </c>
      <c r="AI11" s="24">
        <f>'SPV Operating Cash'!AI21</f>
        <v>0</v>
      </c>
      <c r="AJ11" s="24">
        <f>'SPV Operating Cash'!AJ21</f>
        <v>0</v>
      </c>
      <c r="AK11" s="24">
        <f>'SPV Operating Cash'!AK21</f>
        <v>0</v>
      </c>
      <c r="AL11" s="24">
        <f>'SPV Operating Cash'!AL21</f>
        <v>0</v>
      </c>
      <c r="AM11" s="24">
        <f>'SPV Operating Cash'!AM21</f>
        <v>0</v>
      </c>
      <c r="AN11" s="24">
        <f>'SPV Operating Cash'!AN21</f>
        <v>0</v>
      </c>
      <c r="AO11" s="24">
        <f>'SPV Operating Cash'!AO21</f>
        <v>0</v>
      </c>
      <c r="AP11" s="24">
        <f>'SPV Operating Cash'!AP21</f>
        <v>0</v>
      </c>
      <c r="AQ11" s="24">
        <f>'SPV Operating Cash'!AQ21</f>
        <v>0</v>
      </c>
      <c r="AR11" s="24">
        <f>'SPV Operating Cash'!AR21</f>
        <v>0</v>
      </c>
      <c r="AS11" s="24">
        <f>'SPV Operating Cash'!AS21</f>
        <v>0</v>
      </c>
    </row>
    <row r="12" spans="2:1006" outlineLevel="1" x14ac:dyDescent="0.35">
      <c r="C12" s="33" t="s">
        <v>104</v>
      </c>
      <c r="E12" s="33" t="s">
        <v>90</v>
      </c>
      <c r="I12" s="21">
        <f>SUM(J12:XFD12)</f>
        <v>165404775.68356684</v>
      </c>
      <c r="J12" s="24">
        <f>'SPV Operating Cash'!J42</f>
        <v>0</v>
      </c>
      <c r="K12" s="24">
        <f>'SPV Operating Cash'!K42</f>
        <v>5023375</v>
      </c>
      <c r="L12" s="24">
        <f>'SPV Operating Cash'!L42</f>
        <v>4971483.125</v>
      </c>
      <c r="M12" s="24">
        <f>'SPV Operating Cash'!M42</f>
        <v>4919315.2093749996</v>
      </c>
      <c r="N12" s="24">
        <f>'SPV Operating Cash'!N42</f>
        <v>4866861.9233281258</v>
      </c>
      <c r="O12" s="24">
        <f>'SPV Operating Cash'!O42</f>
        <v>4814113.7695114845</v>
      </c>
      <c r="P12" s="24">
        <f>'SPV Operating Cash'!P42</f>
        <v>4761061.079579927</v>
      </c>
      <c r="Q12" s="24">
        <f>'SPV Operating Cash'!Q42</f>
        <v>4707694.0106763486</v>
      </c>
      <c r="R12" s="24">
        <f>'SPV Operating Cash'!R42</f>
        <v>4654002.5418471722</v>
      </c>
      <c r="S12" s="24">
        <f>'SPV Operating Cash'!S42</f>
        <v>4599976.4703866262</v>
      </c>
      <c r="T12" s="24">
        <f>'SPV Operating Cash'!T42</f>
        <v>4545605.4081083573</v>
      </c>
      <c r="U12" s="24">
        <f>'SPV Operating Cash'!U42</f>
        <v>4490878.7775429534</v>
      </c>
      <c r="V12" s="24">
        <f>'SPV Operating Cash'!V42</f>
        <v>4435785.8080598786</v>
      </c>
      <c r="W12" s="24">
        <f>'SPV Operating Cash'!W42</f>
        <v>4380315.5319123119</v>
      </c>
      <c r="X12" s="24">
        <f>'SPV Operating Cash'!X42</f>
        <v>4324456.7802033387</v>
      </c>
      <c r="Y12" s="24">
        <f>'SPV Operating Cash'!Y42</f>
        <v>4268198.1787719224</v>
      </c>
      <c r="Z12" s="24">
        <f>'SPV Operating Cash'!Z42</f>
        <v>4211528.1439970536</v>
      </c>
      <c r="AA12" s="24">
        <f>'SPV Operating Cash'!AA42</f>
        <v>4154434.8785184389</v>
      </c>
      <c r="AB12" s="24">
        <f>'SPV Operating Cash'!AB42</f>
        <v>4096906.3668720461</v>
      </c>
      <c r="AC12" s="24">
        <f>'SPV Operating Cash'!AC42</f>
        <v>4038930.3710388094</v>
      </c>
      <c r="AD12" s="24">
        <f>'SPV Operating Cash'!AD42</f>
        <v>3980494.4259047606</v>
      </c>
      <c r="AE12" s="24">
        <f>'SPV Operating Cash'!AE42</f>
        <v>5496738.8334089816</v>
      </c>
      <c r="AF12" s="24">
        <f>'SPV Operating Cash'!AF42</f>
        <v>5429468.8977146167</v>
      </c>
      <c r="AG12" s="24">
        <f>'SPV Operating Cash'!AG42</f>
        <v>5361739.5868681762</v>
      </c>
      <c r="AH12" s="24">
        <f>'SPV Operating Cash'!AH42</f>
        <v>5293537.283248811</v>
      </c>
      <c r="AI12" s="24">
        <f>'SPV Operating Cash'!AI42</f>
        <v>5224848.1190338433</v>
      </c>
      <c r="AJ12" s="24">
        <f>'SPV Operating Cash'!AJ42</f>
        <v>5155657.9710839754</v>
      </c>
      <c r="AK12" s="24">
        <f>'SPV Operating Cash'!AK42</f>
        <v>5085952.4557267623</v>
      </c>
      <c r="AL12" s="24">
        <f>'SPV Operating Cash'!AL42</f>
        <v>5015716.9234362999</v>
      </c>
      <c r="AM12" s="24">
        <f>'SPV Operating Cash'!AM42</f>
        <v>4944936.453407052</v>
      </c>
      <c r="AN12" s="24">
        <f>'SPV Operating Cash'!AN42</f>
        <v>4873595.8480197098</v>
      </c>
      <c r="AO12" s="24">
        <f>'SPV Operating Cash'!AO42</f>
        <v>4801679.6271968987</v>
      </c>
      <c r="AP12" s="24">
        <f>'SPV Operating Cash'!AP42</f>
        <v>4729172.0226465464</v>
      </c>
      <c r="AQ12" s="24">
        <f>'SPV Operating Cash'!AQ42</f>
        <v>4656056.9719906589</v>
      </c>
      <c r="AR12" s="24">
        <f>'SPV Operating Cash'!AR42</f>
        <v>4582318.1127771977</v>
      </c>
      <c r="AS12" s="24">
        <f>'SPV Operating Cash'!AS42</f>
        <v>4507938.7763727345</v>
      </c>
    </row>
    <row r="13" spans="2:1006" outlineLevel="1" x14ac:dyDescent="0.35"/>
    <row r="14" spans="2:1006" x14ac:dyDescent="0.35">
      <c r="B14" s="28" t="s">
        <v>109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</row>
    <row r="15" spans="2:1006" outlineLevel="1" x14ac:dyDescent="0.35">
      <c r="C15" s="33" t="s">
        <v>110</v>
      </c>
      <c r="E15" s="33" t="s">
        <v>90</v>
      </c>
      <c r="F15" s="33" t="s">
        <v>60</v>
      </c>
      <c r="G15" s="27">
        <f>Inputs!F25</f>
        <v>0.95</v>
      </c>
      <c r="I15" s="21">
        <f>SUM(J15:XFD15)</f>
        <v>95000000</v>
      </c>
      <c r="J15" s="34">
        <f>$G$15*J11</f>
        <v>95000000</v>
      </c>
      <c r="K15" s="34">
        <f t="shared" ref="K15:AS15" si="5">$G$15*K11</f>
        <v>0</v>
      </c>
      <c r="L15" s="34">
        <f t="shared" si="5"/>
        <v>0</v>
      </c>
      <c r="M15" s="34">
        <f t="shared" si="5"/>
        <v>0</v>
      </c>
      <c r="N15" s="34">
        <f t="shared" si="5"/>
        <v>0</v>
      </c>
      <c r="O15" s="34">
        <f t="shared" si="5"/>
        <v>0</v>
      </c>
      <c r="P15" s="34">
        <f t="shared" si="5"/>
        <v>0</v>
      </c>
      <c r="Q15" s="34">
        <f t="shared" si="5"/>
        <v>0</v>
      </c>
      <c r="R15" s="34">
        <f t="shared" si="5"/>
        <v>0</v>
      </c>
      <c r="S15" s="34">
        <f t="shared" si="5"/>
        <v>0</v>
      </c>
      <c r="T15" s="34">
        <f t="shared" si="5"/>
        <v>0</v>
      </c>
      <c r="U15" s="34">
        <f t="shared" si="5"/>
        <v>0</v>
      </c>
      <c r="V15" s="34">
        <f t="shared" si="5"/>
        <v>0</v>
      </c>
      <c r="W15" s="34">
        <f t="shared" si="5"/>
        <v>0</v>
      </c>
      <c r="X15" s="34">
        <f t="shared" si="5"/>
        <v>0</v>
      </c>
      <c r="Y15" s="34">
        <f t="shared" si="5"/>
        <v>0</v>
      </c>
      <c r="Z15" s="34">
        <f t="shared" si="5"/>
        <v>0</v>
      </c>
      <c r="AA15" s="34">
        <f t="shared" si="5"/>
        <v>0</v>
      </c>
      <c r="AB15" s="34">
        <f t="shared" si="5"/>
        <v>0</v>
      </c>
      <c r="AC15" s="34">
        <f t="shared" si="5"/>
        <v>0</v>
      </c>
      <c r="AD15" s="34">
        <f t="shared" si="5"/>
        <v>0</v>
      </c>
      <c r="AE15" s="34">
        <f t="shared" si="5"/>
        <v>0</v>
      </c>
      <c r="AF15" s="34">
        <f t="shared" si="5"/>
        <v>0</v>
      </c>
      <c r="AG15" s="34">
        <f t="shared" si="5"/>
        <v>0</v>
      </c>
      <c r="AH15" s="34">
        <f t="shared" si="5"/>
        <v>0</v>
      </c>
      <c r="AI15" s="34">
        <f t="shared" si="5"/>
        <v>0</v>
      </c>
      <c r="AJ15" s="34">
        <f t="shared" si="5"/>
        <v>0</v>
      </c>
      <c r="AK15" s="34">
        <f t="shared" si="5"/>
        <v>0</v>
      </c>
      <c r="AL15" s="34">
        <f t="shared" si="5"/>
        <v>0</v>
      </c>
      <c r="AM15" s="34">
        <f t="shared" si="5"/>
        <v>0</v>
      </c>
      <c r="AN15" s="34">
        <f t="shared" si="5"/>
        <v>0</v>
      </c>
      <c r="AO15" s="34">
        <f t="shared" si="5"/>
        <v>0</v>
      </c>
      <c r="AP15" s="34">
        <f t="shared" si="5"/>
        <v>0</v>
      </c>
      <c r="AQ15" s="34">
        <f t="shared" si="5"/>
        <v>0</v>
      </c>
      <c r="AR15" s="34">
        <f t="shared" si="5"/>
        <v>0</v>
      </c>
      <c r="AS15" s="34">
        <f t="shared" si="5"/>
        <v>0</v>
      </c>
    </row>
    <row r="16" spans="2:1006" outlineLevel="1" x14ac:dyDescent="0.35">
      <c r="C16" s="33" t="s">
        <v>111</v>
      </c>
      <c r="E16" s="33" t="s">
        <v>90</v>
      </c>
      <c r="F16" s="33" t="s">
        <v>60</v>
      </c>
      <c r="G16" s="27">
        <f>Inputs!F28</f>
        <v>0.3</v>
      </c>
      <c r="I16" s="21">
        <f>SUM(J16:XFD16)</f>
        <v>28500000</v>
      </c>
      <c r="J16" s="34">
        <f>$G$16*J15</f>
        <v>28500000</v>
      </c>
      <c r="K16" s="34">
        <f t="shared" ref="K16:AS16" si="6">$G$16*K15</f>
        <v>0</v>
      </c>
      <c r="L16" s="34">
        <f t="shared" si="6"/>
        <v>0</v>
      </c>
      <c r="M16" s="34">
        <f t="shared" si="6"/>
        <v>0</v>
      </c>
      <c r="N16" s="34">
        <f t="shared" si="6"/>
        <v>0</v>
      </c>
      <c r="O16" s="34">
        <f t="shared" si="6"/>
        <v>0</v>
      </c>
      <c r="P16" s="34">
        <f t="shared" si="6"/>
        <v>0</v>
      </c>
      <c r="Q16" s="34">
        <f t="shared" si="6"/>
        <v>0</v>
      </c>
      <c r="R16" s="34">
        <f t="shared" si="6"/>
        <v>0</v>
      </c>
      <c r="S16" s="34">
        <f t="shared" si="6"/>
        <v>0</v>
      </c>
      <c r="T16" s="34">
        <f t="shared" si="6"/>
        <v>0</v>
      </c>
      <c r="U16" s="34">
        <f t="shared" si="6"/>
        <v>0</v>
      </c>
      <c r="V16" s="34">
        <f t="shared" si="6"/>
        <v>0</v>
      </c>
      <c r="W16" s="34">
        <f t="shared" si="6"/>
        <v>0</v>
      </c>
      <c r="X16" s="34">
        <f t="shared" si="6"/>
        <v>0</v>
      </c>
      <c r="Y16" s="34">
        <f t="shared" si="6"/>
        <v>0</v>
      </c>
      <c r="Z16" s="34">
        <f t="shared" si="6"/>
        <v>0</v>
      </c>
      <c r="AA16" s="34">
        <f t="shared" si="6"/>
        <v>0</v>
      </c>
      <c r="AB16" s="34">
        <f t="shared" si="6"/>
        <v>0</v>
      </c>
      <c r="AC16" s="34">
        <f t="shared" si="6"/>
        <v>0</v>
      </c>
      <c r="AD16" s="34">
        <f t="shared" si="6"/>
        <v>0</v>
      </c>
      <c r="AE16" s="34">
        <f t="shared" si="6"/>
        <v>0</v>
      </c>
      <c r="AF16" s="34">
        <f t="shared" si="6"/>
        <v>0</v>
      </c>
      <c r="AG16" s="34">
        <f t="shared" si="6"/>
        <v>0</v>
      </c>
      <c r="AH16" s="34">
        <f t="shared" si="6"/>
        <v>0</v>
      </c>
      <c r="AI16" s="34">
        <f t="shared" si="6"/>
        <v>0</v>
      </c>
      <c r="AJ16" s="34">
        <f t="shared" si="6"/>
        <v>0</v>
      </c>
      <c r="AK16" s="34">
        <f t="shared" si="6"/>
        <v>0</v>
      </c>
      <c r="AL16" s="34">
        <f t="shared" si="6"/>
        <v>0</v>
      </c>
      <c r="AM16" s="34">
        <f t="shared" si="6"/>
        <v>0</v>
      </c>
      <c r="AN16" s="34">
        <f t="shared" si="6"/>
        <v>0</v>
      </c>
      <c r="AO16" s="34">
        <f t="shared" si="6"/>
        <v>0</v>
      </c>
      <c r="AP16" s="34">
        <f t="shared" si="6"/>
        <v>0</v>
      </c>
      <c r="AQ16" s="34">
        <f t="shared" si="6"/>
        <v>0</v>
      </c>
      <c r="AR16" s="34">
        <f t="shared" si="6"/>
        <v>0</v>
      </c>
      <c r="AS16" s="34">
        <f t="shared" si="6"/>
        <v>0</v>
      </c>
    </row>
    <row r="17" spans="2:1006" outlineLevel="1" x14ac:dyDescent="0.35"/>
    <row r="18" spans="2:1006" x14ac:dyDescent="0.35">
      <c r="B18" s="28" t="s">
        <v>112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</row>
    <row r="19" spans="2:1006" outlineLevel="1" x14ac:dyDescent="0.35">
      <c r="C19" s="33" t="s">
        <v>113</v>
      </c>
      <c r="E19" s="33" t="s">
        <v>90</v>
      </c>
      <c r="G19" s="34">
        <f>I15</f>
        <v>95000000</v>
      </c>
      <c r="J19" s="34">
        <f>$G$19</f>
        <v>95000000</v>
      </c>
      <c r="K19" s="34">
        <f t="shared" ref="K19:AS19" si="7">$G$19</f>
        <v>95000000</v>
      </c>
      <c r="L19" s="34">
        <f t="shared" si="7"/>
        <v>95000000</v>
      </c>
      <c r="M19" s="34">
        <f t="shared" si="7"/>
        <v>95000000</v>
      </c>
      <c r="N19" s="34">
        <f t="shared" si="7"/>
        <v>95000000</v>
      </c>
      <c r="O19" s="34">
        <f t="shared" si="7"/>
        <v>95000000</v>
      </c>
      <c r="P19" s="34">
        <f t="shared" si="7"/>
        <v>95000000</v>
      </c>
      <c r="Q19" s="34">
        <f t="shared" si="7"/>
        <v>95000000</v>
      </c>
      <c r="R19" s="34">
        <f t="shared" si="7"/>
        <v>95000000</v>
      </c>
      <c r="S19" s="34">
        <f t="shared" si="7"/>
        <v>95000000</v>
      </c>
      <c r="T19" s="34">
        <f t="shared" si="7"/>
        <v>95000000</v>
      </c>
      <c r="U19" s="34">
        <f t="shared" si="7"/>
        <v>95000000</v>
      </c>
      <c r="V19" s="34">
        <f t="shared" si="7"/>
        <v>95000000</v>
      </c>
      <c r="W19" s="34">
        <f t="shared" si="7"/>
        <v>95000000</v>
      </c>
      <c r="X19" s="34">
        <f t="shared" si="7"/>
        <v>95000000</v>
      </c>
      <c r="Y19" s="34">
        <f t="shared" si="7"/>
        <v>95000000</v>
      </c>
      <c r="Z19" s="34">
        <f t="shared" si="7"/>
        <v>95000000</v>
      </c>
      <c r="AA19" s="34">
        <f t="shared" si="7"/>
        <v>95000000</v>
      </c>
      <c r="AB19" s="34">
        <f t="shared" si="7"/>
        <v>95000000</v>
      </c>
      <c r="AC19" s="34">
        <f t="shared" si="7"/>
        <v>95000000</v>
      </c>
      <c r="AD19" s="34">
        <f t="shared" si="7"/>
        <v>95000000</v>
      </c>
      <c r="AE19" s="34">
        <f t="shared" si="7"/>
        <v>95000000</v>
      </c>
      <c r="AF19" s="34">
        <f t="shared" si="7"/>
        <v>95000000</v>
      </c>
      <c r="AG19" s="34">
        <f t="shared" si="7"/>
        <v>95000000</v>
      </c>
      <c r="AH19" s="34">
        <f t="shared" si="7"/>
        <v>95000000</v>
      </c>
      <c r="AI19" s="34">
        <f t="shared" si="7"/>
        <v>95000000</v>
      </c>
      <c r="AJ19" s="34">
        <f t="shared" si="7"/>
        <v>95000000</v>
      </c>
      <c r="AK19" s="34">
        <f t="shared" si="7"/>
        <v>95000000</v>
      </c>
      <c r="AL19" s="34">
        <f t="shared" si="7"/>
        <v>95000000</v>
      </c>
      <c r="AM19" s="34">
        <f t="shared" si="7"/>
        <v>95000000</v>
      </c>
      <c r="AN19" s="34">
        <f t="shared" si="7"/>
        <v>95000000</v>
      </c>
      <c r="AO19" s="34">
        <f t="shared" si="7"/>
        <v>95000000</v>
      </c>
      <c r="AP19" s="34">
        <f t="shared" si="7"/>
        <v>95000000</v>
      </c>
      <c r="AQ19" s="34">
        <f t="shared" si="7"/>
        <v>95000000</v>
      </c>
      <c r="AR19" s="34">
        <f t="shared" si="7"/>
        <v>95000000</v>
      </c>
      <c r="AS19" s="34">
        <f t="shared" si="7"/>
        <v>95000000</v>
      </c>
    </row>
    <row r="20" spans="2:1006" outlineLevel="1" x14ac:dyDescent="0.35">
      <c r="C20" s="33" t="s">
        <v>114</v>
      </c>
      <c r="E20" s="33" t="s">
        <v>90</v>
      </c>
      <c r="F20" s="27">
        <f>Inputs!F29</f>
        <v>0.5</v>
      </c>
      <c r="G20" s="34">
        <f>I16</f>
        <v>28500000</v>
      </c>
      <c r="J20" s="34">
        <f>$F$20*$G$20</f>
        <v>14250000</v>
      </c>
      <c r="K20" s="34">
        <f t="shared" ref="K20:AS20" si="8">$F$20*$G$20</f>
        <v>14250000</v>
      </c>
      <c r="L20" s="34">
        <f t="shared" si="8"/>
        <v>14250000</v>
      </c>
      <c r="M20" s="34">
        <f t="shared" si="8"/>
        <v>14250000</v>
      </c>
      <c r="N20" s="34">
        <f t="shared" si="8"/>
        <v>14250000</v>
      </c>
      <c r="O20" s="34">
        <f t="shared" si="8"/>
        <v>14250000</v>
      </c>
      <c r="P20" s="34">
        <f t="shared" si="8"/>
        <v>14250000</v>
      </c>
      <c r="Q20" s="34">
        <f t="shared" si="8"/>
        <v>14250000</v>
      </c>
      <c r="R20" s="34">
        <f t="shared" si="8"/>
        <v>14250000</v>
      </c>
      <c r="S20" s="34">
        <f t="shared" si="8"/>
        <v>14250000</v>
      </c>
      <c r="T20" s="34">
        <f t="shared" si="8"/>
        <v>14250000</v>
      </c>
      <c r="U20" s="34">
        <f t="shared" si="8"/>
        <v>14250000</v>
      </c>
      <c r="V20" s="34">
        <f t="shared" si="8"/>
        <v>14250000</v>
      </c>
      <c r="W20" s="34">
        <f t="shared" si="8"/>
        <v>14250000</v>
      </c>
      <c r="X20" s="34">
        <f t="shared" si="8"/>
        <v>14250000</v>
      </c>
      <c r="Y20" s="34">
        <f t="shared" si="8"/>
        <v>14250000</v>
      </c>
      <c r="Z20" s="34">
        <f t="shared" si="8"/>
        <v>14250000</v>
      </c>
      <c r="AA20" s="34">
        <f t="shared" si="8"/>
        <v>14250000</v>
      </c>
      <c r="AB20" s="34">
        <f t="shared" si="8"/>
        <v>14250000</v>
      </c>
      <c r="AC20" s="34">
        <f t="shared" si="8"/>
        <v>14250000</v>
      </c>
      <c r="AD20" s="34">
        <f t="shared" si="8"/>
        <v>14250000</v>
      </c>
      <c r="AE20" s="34">
        <f t="shared" si="8"/>
        <v>14250000</v>
      </c>
      <c r="AF20" s="34">
        <f t="shared" si="8"/>
        <v>14250000</v>
      </c>
      <c r="AG20" s="34">
        <f t="shared" si="8"/>
        <v>14250000</v>
      </c>
      <c r="AH20" s="34">
        <f t="shared" si="8"/>
        <v>14250000</v>
      </c>
      <c r="AI20" s="34">
        <f t="shared" si="8"/>
        <v>14250000</v>
      </c>
      <c r="AJ20" s="34">
        <f t="shared" si="8"/>
        <v>14250000</v>
      </c>
      <c r="AK20" s="34">
        <f t="shared" si="8"/>
        <v>14250000</v>
      </c>
      <c r="AL20" s="34">
        <f t="shared" si="8"/>
        <v>14250000</v>
      </c>
      <c r="AM20" s="34">
        <f t="shared" si="8"/>
        <v>14250000</v>
      </c>
      <c r="AN20" s="34">
        <f t="shared" si="8"/>
        <v>14250000</v>
      </c>
      <c r="AO20" s="34">
        <f t="shared" si="8"/>
        <v>14250000</v>
      </c>
      <c r="AP20" s="34">
        <f t="shared" si="8"/>
        <v>14250000</v>
      </c>
      <c r="AQ20" s="34">
        <f t="shared" si="8"/>
        <v>14250000</v>
      </c>
      <c r="AR20" s="34">
        <f t="shared" si="8"/>
        <v>14250000</v>
      </c>
      <c r="AS20" s="34">
        <f t="shared" si="8"/>
        <v>14250000</v>
      </c>
    </row>
    <row r="21" spans="2:1006" outlineLevel="1" x14ac:dyDescent="0.35">
      <c r="C21" s="36" t="s">
        <v>115</v>
      </c>
      <c r="D21" s="36"/>
      <c r="E21" s="36" t="s">
        <v>90</v>
      </c>
      <c r="F21" s="36"/>
      <c r="G21" s="36"/>
      <c r="H21" s="36"/>
      <c r="I21" s="36"/>
      <c r="J21" s="37">
        <f>J19-J20</f>
        <v>80750000</v>
      </c>
      <c r="K21" s="37">
        <f t="shared" ref="K21:AS21" si="9">K19-K20</f>
        <v>80750000</v>
      </c>
      <c r="L21" s="37">
        <f t="shared" si="9"/>
        <v>80750000</v>
      </c>
      <c r="M21" s="37">
        <f t="shared" si="9"/>
        <v>80750000</v>
      </c>
      <c r="N21" s="37">
        <f t="shared" si="9"/>
        <v>80750000</v>
      </c>
      <c r="O21" s="37">
        <f t="shared" si="9"/>
        <v>80750000</v>
      </c>
      <c r="P21" s="37">
        <f t="shared" si="9"/>
        <v>80750000</v>
      </c>
      <c r="Q21" s="37">
        <f t="shared" si="9"/>
        <v>80750000</v>
      </c>
      <c r="R21" s="37">
        <f t="shared" si="9"/>
        <v>80750000</v>
      </c>
      <c r="S21" s="37">
        <f t="shared" si="9"/>
        <v>80750000</v>
      </c>
      <c r="T21" s="37">
        <f t="shared" si="9"/>
        <v>80750000</v>
      </c>
      <c r="U21" s="37">
        <f t="shared" si="9"/>
        <v>80750000</v>
      </c>
      <c r="V21" s="37">
        <f t="shared" si="9"/>
        <v>80750000</v>
      </c>
      <c r="W21" s="37">
        <f t="shared" si="9"/>
        <v>80750000</v>
      </c>
      <c r="X21" s="37">
        <f t="shared" si="9"/>
        <v>80750000</v>
      </c>
      <c r="Y21" s="37">
        <f t="shared" si="9"/>
        <v>80750000</v>
      </c>
      <c r="Z21" s="37">
        <f t="shared" si="9"/>
        <v>80750000</v>
      </c>
      <c r="AA21" s="37">
        <f t="shared" si="9"/>
        <v>80750000</v>
      </c>
      <c r="AB21" s="37">
        <f t="shared" si="9"/>
        <v>80750000</v>
      </c>
      <c r="AC21" s="37">
        <f t="shared" si="9"/>
        <v>80750000</v>
      </c>
      <c r="AD21" s="37">
        <f t="shared" si="9"/>
        <v>80750000</v>
      </c>
      <c r="AE21" s="37">
        <f t="shared" si="9"/>
        <v>80750000</v>
      </c>
      <c r="AF21" s="37">
        <f t="shared" si="9"/>
        <v>80750000</v>
      </c>
      <c r="AG21" s="37">
        <f t="shared" si="9"/>
        <v>80750000</v>
      </c>
      <c r="AH21" s="37">
        <f t="shared" si="9"/>
        <v>80750000</v>
      </c>
      <c r="AI21" s="37">
        <f t="shared" si="9"/>
        <v>80750000</v>
      </c>
      <c r="AJ21" s="37">
        <f t="shared" si="9"/>
        <v>80750000</v>
      </c>
      <c r="AK21" s="37">
        <f t="shared" si="9"/>
        <v>80750000</v>
      </c>
      <c r="AL21" s="37">
        <f t="shared" si="9"/>
        <v>80750000</v>
      </c>
      <c r="AM21" s="37">
        <f t="shared" si="9"/>
        <v>80750000</v>
      </c>
      <c r="AN21" s="37">
        <f t="shared" si="9"/>
        <v>80750000</v>
      </c>
      <c r="AO21" s="37">
        <f t="shared" si="9"/>
        <v>80750000</v>
      </c>
      <c r="AP21" s="37">
        <f t="shared" si="9"/>
        <v>80750000</v>
      </c>
      <c r="AQ21" s="37">
        <f t="shared" si="9"/>
        <v>80750000</v>
      </c>
      <c r="AR21" s="37">
        <f t="shared" si="9"/>
        <v>80750000</v>
      </c>
      <c r="AS21" s="37">
        <f t="shared" si="9"/>
        <v>80750000</v>
      </c>
    </row>
    <row r="22" spans="2:1006" outlineLevel="1" x14ac:dyDescent="0.35"/>
    <row r="23" spans="2:1006" outlineLevel="1" x14ac:dyDescent="0.35">
      <c r="C23" s="33" t="s">
        <v>116</v>
      </c>
      <c r="E23" s="33" t="s">
        <v>90</v>
      </c>
      <c r="G23" s="34">
        <f>I11-I15</f>
        <v>5000000</v>
      </c>
      <c r="J23" s="34">
        <f>$G$23</f>
        <v>5000000</v>
      </c>
      <c r="K23" s="34">
        <f t="shared" ref="K23:AS23" si="10">$G$23</f>
        <v>5000000</v>
      </c>
      <c r="L23" s="34">
        <f t="shared" si="10"/>
        <v>5000000</v>
      </c>
      <c r="M23" s="34">
        <f t="shared" si="10"/>
        <v>5000000</v>
      </c>
      <c r="N23" s="34">
        <f t="shared" si="10"/>
        <v>5000000</v>
      </c>
      <c r="O23" s="34">
        <f t="shared" si="10"/>
        <v>5000000</v>
      </c>
      <c r="P23" s="34">
        <f t="shared" si="10"/>
        <v>5000000</v>
      </c>
      <c r="Q23" s="34">
        <f t="shared" si="10"/>
        <v>5000000</v>
      </c>
      <c r="R23" s="34">
        <f t="shared" si="10"/>
        <v>5000000</v>
      </c>
      <c r="S23" s="34">
        <f t="shared" si="10"/>
        <v>5000000</v>
      </c>
      <c r="T23" s="34">
        <f t="shared" si="10"/>
        <v>5000000</v>
      </c>
      <c r="U23" s="34">
        <f t="shared" si="10"/>
        <v>5000000</v>
      </c>
      <c r="V23" s="34">
        <f t="shared" si="10"/>
        <v>5000000</v>
      </c>
      <c r="W23" s="34">
        <f t="shared" si="10"/>
        <v>5000000</v>
      </c>
      <c r="X23" s="34">
        <f t="shared" si="10"/>
        <v>5000000</v>
      </c>
      <c r="Y23" s="34">
        <f t="shared" si="10"/>
        <v>5000000</v>
      </c>
      <c r="Z23" s="34">
        <f t="shared" si="10"/>
        <v>5000000</v>
      </c>
      <c r="AA23" s="34">
        <f t="shared" si="10"/>
        <v>5000000</v>
      </c>
      <c r="AB23" s="34">
        <f t="shared" si="10"/>
        <v>5000000</v>
      </c>
      <c r="AC23" s="34">
        <f t="shared" si="10"/>
        <v>5000000</v>
      </c>
      <c r="AD23" s="34">
        <f t="shared" si="10"/>
        <v>5000000</v>
      </c>
      <c r="AE23" s="34">
        <f t="shared" si="10"/>
        <v>5000000</v>
      </c>
      <c r="AF23" s="34">
        <f t="shared" si="10"/>
        <v>5000000</v>
      </c>
      <c r="AG23" s="34">
        <f t="shared" si="10"/>
        <v>5000000</v>
      </c>
      <c r="AH23" s="34">
        <f t="shared" si="10"/>
        <v>5000000</v>
      </c>
      <c r="AI23" s="34">
        <f t="shared" si="10"/>
        <v>5000000</v>
      </c>
      <c r="AJ23" s="34">
        <f t="shared" si="10"/>
        <v>5000000</v>
      </c>
      <c r="AK23" s="34">
        <f t="shared" si="10"/>
        <v>5000000</v>
      </c>
      <c r="AL23" s="34">
        <f t="shared" si="10"/>
        <v>5000000</v>
      </c>
      <c r="AM23" s="34">
        <f t="shared" si="10"/>
        <v>5000000</v>
      </c>
      <c r="AN23" s="34">
        <f t="shared" si="10"/>
        <v>5000000</v>
      </c>
      <c r="AO23" s="34">
        <f t="shared" si="10"/>
        <v>5000000</v>
      </c>
      <c r="AP23" s="34">
        <f t="shared" si="10"/>
        <v>5000000</v>
      </c>
      <c r="AQ23" s="34">
        <f t="shared" si="10"/>
        <v>5000000</v>
      </c>
      <c r="AR23" s="34">
        <f t="shared" si="10"/>
        <v>5000000</v>
      </c>
      <c r="AS23" s="34">
        <f t="shared" si="10"/>
        <v>5000000</v>
      </c>
    </row>
    <row r="24" spans="2:1006" outlineLevel="1" x14ac:dyDescent="0.35"/>
    <row r="25" spans="2:1006" x14ac:dyDescent="0.35">
      <c r="B25" s="28" t="s">
        <v>117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</row>
    <row r="26" spans="2:1006" outlineLevel="1" x14ac:dyDescent="0.35">
      <c r="C26" s="33" t="s">
        <v>118</v>
      </c>
      <c r="E26" s="33" t="s">
        <v>67</v>
      </c>
      <c r="J26" s="33">
        <f>I26+J8</f>
        <v>0</v>
      </c>
      <c r="K26" s="33">
        <f t="shared" ref="K26:AS26" si="11">J26+K8</f>
        <v>1</v>
      </c>
      <c r="L26" s="33">
        <f t="shared" si="11"/>
        <v>2</v>
      </c>
      <c r="M26" s="33">
        <f t="shared" si="11"/>
        <v>3</v>
      </c>
      <c r="N26" s="33">
        <f t="shared" si="11"/>
        <v>4</v>
      </c>
      <c r="O26" s="33">
        <f t="shared" si="11"/>
        <v>5</v>
      </c>
      <c r="P26" s="33">
        <f t="shared" si="11"/>
        <v>6</v>
      </c>
      <c r="Q26" s="33">
        <f t="shared" si="11"/>
        <v>7</v>
      </c>
      <c r="R26" s="33">
        <f t="shared" si="11"/>
        <v>8</v>
      </c>
      <c r="S26" s="33">
        <f t="shared" si="11"/>
        <v>9</v>
      </c>
      <c r="T26" s="33">
        <f t="shared" si="11"/>
        <v>10</v>
      </c>
      <c r="U26" s="33">
        <f t="shared" si="11"/>
        <v>11</v>
      </c>
      <c r="V26" s="33">
        <f t="shared" si="11"/>
        <v>12</v>
      </c>
      <c r="W26" s="33">
        <f t="shared" si="11"/>
        <v>13</v>
      </c>
      <c r="X26" s="33">
        <f t="shared" si="11"/>
        <v>14</v>
      </c>
      <c r="Y26" s="33">
        <f t="shared" si="11"/>
        <v>15</v>
      </c>
      <c r="Z26" s="33">
        <f t="shared" si="11"/>
        <v>16</v>
      </c>
      <c r="AA26" s="33">
        <f t="shared" si="11"/>
        <v>17</v>
      </c>
      <c r="AB26" s="33">
        <f t="shared" si="11"/>
        <v>18</v>
      </c>
      <c r="AC26" s="33">
        <f t="shared" si="11"/>
        <v>19</v>
      </c>
      <c r="AD26" s="33">
        <f t="shared" si="11"/>
        <v>20</v>
      </c>
      <c r="AE26" s="33">
        <f t="shared" si="11"/>
        <v>21</v>
      </c>
      <c r="AF26" s="33">
        <f t="shared" si="11"/>
        <v>22</v>
      </c>
      <c r="AG26" s="33">
        <f t="shared" si="11"/>
        <v>23</v>
      </c>
      <c r="AH26" s="33">
        <f t="shared" si="11"/>
        <v>24</v>
      </c>
      <c r="AI26" s="33">
        <f t="shared" si="11"/>
        <v>25</v>
      </c>
      <c r="AJ26" s="33">
        <f t="shared" si="11"/>
        <v>26</v>
      </c>
      <c r="AK26" s="33">
        <f t="shared" si="11"/>
        <v>27</v>
      </c>
      <c r="AL26" s="33">
        <f t="shared" si="11"/>
        <v>28</v>
      </c>
      <c r="AM26" s="33">
        <f t="shared" si="11"/>
        <v>29</v>
      </c>
      <c r="AN26" s="33">
        <f t="shared" si="11"/>
        <v>30</v>
      </c>
      <c r="AO26" s="33">
        <f t="shared" si="11"/>
        <v>31</v>
      </c>
      <c r="AP26" s="33">
        <f t="shared" si="11"/>
        <v>32</v>
      </c>
      <c r="AQ26" s="33">
        <f t="shared" si="11"/>
        <v>33</v>
      </c>
      <c r="AR26" s="33">
        <f t="shared" si="11"/>
        <v>34</v>
      </c>
      <c r="AS26" s="33">
        <f t="shared" si="11"/>
        <v>35</v>
      </c>
    </row>
    <row r="27" spans="2:1006" outlineLevel="1" x14ac:dyDescent="0.35">
      <c r="C27" s="33" t="s">
        <v>66</v>
      </c>
      <c r="E27" s="33" t="s">
        <v>60</v>
      </c>
      <c r="I27" s="39">
        <f>SUM(J27:XFD27)</f>
        <v>1</v>
      </c>
      <c r="J27" s="25">
        <f>LOOKUP(J26,Inputs!50:50,Inputs!51:51)</f>
        <v>0</v>
      </c>
      <c r="K27" s="25">
        <f>LOOKUP(K26,Inputs!50:50,Inputs!51:51)</f>
        <v>0.4</v>
      </c>
      <c r="L27" s="25">
        <f>LOOKUP(L26,Inputs!50:50,Inputs!51:51)</f>
        <v>0.24</v>
      </c>
      <c r="M27" s="25">
        <f>LOOKUP(M26,Inputs!50:50,Inputs!51:51)</f>
        <v>0.14399999999999999</v>
      </c>
      <c r="N27" s="25">
        <f>LOOKUP(N26,Inputs!50:50,Inputs!51:51)</f>
        <v>0.108</v>
      </c>
      <c r="O27" s="25">
        <f>LOOKUP(O26,Inputs!50:50,Inputs!51:51)</f>
        <v>0.108</v>
      </c>
      <c r="P27" s="25">
        <f>LOOKUP(P26,Inputs!50:50,Inputs!51:51)</f>
        <v>0</v>
      </c>
      <c r="Q27" s="25">
        <f>LOOKUP(Q26,Inputs!50:50,Inputs!51:51)</f>
        <v>0</v>
      </c>
      <c r="R27" s="25">
        <f>LOOKUP(R26,Inputs!50:50,Inputs!51:51)</f>
        <v>0</v>
      </c>
      <c r="S27" s="25">
        <f>LOOKUP(S26,Inputs!50:50,Inputs!51:51)</f>
        <v>0</v>
      </c>
      <c r="T27" s="25">
        <f>LOOKUP(T26,Inputs!50:50,Inputs!51:51)</f>
        <v>0</v>
      </c>
      <c r="U27" s="25">
        <f>LOOKUP(U26,Inputs!50:50,Inputs!51:51)</f>
        <v>0</v>
      </c>
      <c r="V27" s="25">
        <f>LOOKUP(V26,Inputs!50:50,Inputs!51:51)</f>
        <v>0</v>
      </c>
      <c r="W27" s="25">
        <f>LOOKUP(W26,Inputs!50:50,Inputs!51:51)</f>
        <v>0</v>
      </c>
      <c r="X27" s="25">
        <f>LOOKUP(X26,Inputs!50:50,Inputs!51:51)</f>
        <v>0</v>
      </c>
      <c r="Y27" s="25">
        <f>LOOKUP(Y26,Inputs!50:50,Inputs!51:51)</f>
        <v>0</v>
      </c>
      <c r="Z27" s="25">
        <f>LOOKUP(Z26,Inputs!50:50,Inputs!51:51)</f>
        <v>0</v>
      </c>
      <c r="AA27" s="25">
        <f>LOOKUP(AA26,Inputs!50:50,Inputs!51:51)</f>
        <v>0</v>
      </c>
      <c r="AB27" s="25">
        <f>LOOKUP(AB26,Inputs!50:50,Inputs!51:51)</f>
        <v>0</v>
      </c>
      <c r="AC27" s="25">
        <f>LOOKUP(AC26,Inputs!50:50,Inputs!51:51)</f>
        <v>0</v>
      </c>
      <c r="AD27" s="25">
        <f>LOOKUP(AD26,Inputs!50:50,Inputs!51:51)</f>
        <v>0</v>
      </c>
      <c r="AE27" s="25">
        <f>LOOKUP(AE26,Inputs!50:50,Inputs!51:51)</f>
        <v>0</v>
      </c>
      <c r="AF27" s="25">
        <f>LOOKUP(AF26,Inputs!50:50,Inputs!51:51)</f>
        <v>0</v>
      </c>
      <c r="AG27" s="25">
        <f>LOOKUP(AG26,Inputs!50:50,Inputs!51:51)</f>
        <v>0</v>
      </c>
      <c r="AH27" s="25">
        <f>LOOKUP(AH26,Inputs!50:50,Inputs!51:51)</f>
        <v>0</v>
      </c>
      <c r="AI27" s="25">
        <f>LOOKUP(AI26,Inputs!50:50,Inputs!51:51)</f>
        <v>0</v>
      </c>
      <c r="AJ27" s="25">
        <f>LOOKUP(AJ26,Inputs!50:50,Inputs!51:51)</f>
        <v>0</v>
      </c>
      <c r="AK27" s="25">
        <f>LOOKUP(AK26,Inputs!50:50,Inputs!51:51)</f>
        <v>0</v>
      </c>
      <c r="AL27" s="25">
        <f>LOOKUP(AL26,Inputs!50:50,Inputs!51:51)</f>
        <v>0</v>
      </c>
      <c r="AM27" s="25">
        <f>LOOKUP(AM26,Inputs!50:50,Inputs!51:51)</f>
        <v>0</v>
      </c>
      <c r="AN27" s="25">
        <f>LOOKUP(AN26,Inputs!50:50,Inputs!51:51)</f>
        <v>0</v>
      </c>
      <c r="AO27" s="25">
        <f>LOOKUP(AO26,Inputs!50:50,Inputs!51:51)</f>
        <v>0</v>
      </c>
      <c r="AP27" s="25">
        <f>LOOKUP(AP26,Inputs!50:50,Inputs!51:51)</f>
        <v>0</v>
      </c>
      <c r="AQ27" s="25">
        <f>LOOKUP(AQ26,Inputs!50:50,Inputs!51:51)</f>
        <v>0</v>
      </c>
      <c r="AR27" s="25">
        <f>LOOKUP(AR26,Inputs!50:50,Inputs!51:51)</f>
        <v>0</v>
      </c>
      <c r="AS27" s="25">
        <f>LOOKUP(AS26,Inputs!50:50,Inputs!51:51)</f>
        <v>0</v>
      </c>
    </row>
    <row r="28" spans="2:1006" outlineLevel="1" x14ac:dyDescent="0.35"/>
    <row r="29" spans="2:1006" outlineLevel="1" x14ac:dyDescent="0.35">
      <c r="C29" s="33" t="s">
        <v>119</v>
      </c>
      <c r="E29" s="33" t="s">
        <v>60</v>
      </c>
      <c r="G29" s="23">
        <f>Inputs!G32</f>
        <v>15</v>
      </c>
      <c r="H29" s="38">
        <f>1/G29</f>
        <v>6.6666666666666666E-2</v>
      </c>
      <c r="I29" s="39">
        <f>SUM(J29:XFD29)</f>
        <v>0.99999999999999989</v>
      </c>
      <c r="J29" s="38">
        <f>AND(J8,(J26&lt;=$G$29))*$H$29</f>
        <v>0</v>
      </c>
      <c r="K29" s="38">
        <f t="shared" ref="K29:AS29" si="12">AND(K8,(K26&lt;=$G$29))*$H$29</f>
        <v>6.6666666666666666E-2</v>
      </c>
      <c r="L29" s="38">
        <f t="shared" si="12"/>
        <v>6.6666666666666666E-2</v>
      </c>
      <c r="M29" s="38">
        <f t="shared" si="12"/>
        <v>6.6666666666666666E-2</v>
      </c>
      <c r="N29" s="38">
        <f t="shared" si="12"/>
        <v>6.6666666666666666E-2</v>
      </c>
      <c r="O29" s="38">
        <f t="shared" si="12"/>
        <v>6.6666666666666666E-2</v>
      </c>
      <c r="P29" s="38">
        <f t="shared" si="12"/>
        <v>6.6666666666666666E-2</v>
      </c>
      <c r="Q29" s="38">
        <f t="shared" si="12"/>
        <v>6.6666666666666666E-2</v>
      </c>
      <c r="R29" s="38">
        <f t="shared" si="12"/>
        <v>6.6666666666666666E-2</v>
      </c>
      <c r="S29" s="38">
        <f t="shared" si="12"/>
        <v>6.6666666666666666E-2</v>
      </c>
      <c r="T29" s="38">
        <f t="shared" si="12"/>
        <v>6.6666666666666666E-2</v>
      </c>
      <c r="U29" s="38">
        <f t="shared" si="12"/>
        <v>6.6666666666666666E-2</v>
      </c>
      <c r="V29" s="38">
        <f t="shared" si="12"/>
        <v>6.6666666666666666E-2</v>
      </c>
      <c r="W29" s="38">
        <f t="shared" si="12"/>
        <v>6.6666666666666666E-2</v>
      </c>
      <c r="X29" s="38">
        <f t="shared" si="12"/>
        <v>6.6666666666666666E-2</v>
      </c>
      <c r="Y29" s="38">
        <f t="shared" si="12"/>
        <v>6.6666666666666666E-2</v>
      </c>
      <c r="Z29" s="38">
        <f t="shared" si="12"/>
        <v>0</v>
      </c>
      <c r="AA29" s="38">
        <f t="shared" si="12"/>
        <v>0</v>
      </c>
      <c r="AB29" s="38">
        <f t="shared" si="12"/>
        <v>0</v>
      </c>
      <c r="AC29" s="38">
        <f t="shared" si="12"/>
        <v>0</v>
      </c>
      <c r="AD29" s="38">
        <f t="shared" si="12"/>
        <v>0</v>
      </c>
      <c r="AE29" s="38">
        <f t="shared" si="12"/>
        <v>0</v>
      </c>
      <c r="AF29" s="38">
        <f t="shared" si="12"/>
        <v>0</v>
      </c>
      <c r="AG29" s="38">
        <f t="shared" si="12"/>
        <v>0</v>
      </c>
      <c r="AH29" s="38">
        <f t="shared" si="12"/>
        <v>0</v>
      </c>
      <c r="AI29" s="38">
        <f t="shared" si="12"/>
        <v>0</v>
      </c>
      <c r="AJ29" s="38">
        <f t="shared" si="12"/>
        <v>0</v>
      </c>
      <c r="AK29" s="38">
        <f t="shared" si="12"/>
        <v>0</v>
      </c>
      <c r="AL29" s="38">
        <f t="shared" si="12"/>
        <v>0</v>
      </c>
      <c r="AM29" s="38">
        <f t="shared" si="12"/>
        <v>0</v>
      </c>
      <c r="AN29" s="38">
        <f t="shared" si="12"/>
        <v>0</v>
      </c>
      <c r="AO29" s="38">
        <f t="shared" si="12"/>
        <v>0</v>
      </c>
      <c r="AP29" s="38">
        <f t="shared" si="12"/>
        <v>0</v>
      </c>
      <c r="AQ29" s="38">
        <f t="shared" si="12"/>
        <v>0</v>
      </c>
      <c r="AR29" s="38">
        <f t="shared" si="12"/>
        <v>0</v>
      </c>
      <c r="AS29" s="38">
        <f t="shared" si="12"/>
        <v>0</v>
      </c>
    </row>
    <row r="30" spans="2:1006" outlineLevel="1" x14ac:dyDescent="0.35"/>
    <row r="31" spans="2:1006" outlineLevel="1" x14ac:dyDescent="0.35">
      <c r="C31" s="33" t="s">
        <v>120</v>
      </c>
      <c r="E31" s="33" t="s">
        <v>90</v>
      </c>
      <c r="I31" s="21">
        <f>SUM(J31:XFD31)</f>
        <v>80750000</v>
      </c>
      <c r="J31" s="34">
        <f>J27*J21</f>
        <v>0</v>
      </c>
      <c r="K31" s="34">
        <f t="shared" ref="K31:AS31" si="13">K27*K21</f>
        <v>32300000</v>
      </c>
      <c r="L31" s="34">
        <f t="shared" si="13"/>
        <v>19380000</v>
      </c>
      <c r="M31" s="34">
        <f t="shared" si="13"/>
        <v>11628000</v>
      </c>
      <c r="N31" s="34">
        <f t="shared" si="13"/>
        <v>8721000</v>
      </c>
      <c r="O31" s="34">
        <f t="shared" si="13"/>
        <v>8721000</v>
      </c>
      <c r="P31" s="34">
        <f t="shared" si="13"/>
        <v>0</v>
      </c>
      <c r="Q31" s="34">
        <f t="shared" si="13"/>
        <v>0</v>
      </c>
      <c r="R31" s="34">
        <f t="shared" si="13"/>
        <v>0</v>
      </c>
      <c r="S31" s="34">
        <f t="shared" si="13"/>
        <v>0</v>
      </c>
      <c r="T31" s="34">
        <f t="shared" si="13"/>
        <v>0</v>
      </c>
      <c r="U31" s="34">
        <f t="shared" si="13"/>
        <v>0</v>
      </c>
      <c r="V31" s="34">
        <f t="shared" si="13"/>
        <v>0</v>
      </c>
      <c r="W31" s="34">
        <f t="shared" si="13"/>
        <v>0</v>
      </c>
      <c r="X31" s="34">
        <f t="shared" si="13"/>
        <v>0</v>
      </c>
      <c r="Y31" s="34">
        <f t="shared" si="13"/>
        <v>0</v>
      </c>
      <c r="Z31" s="34">
        <f t="shared" si="13"/>
        <v>0</v>
      </c>
      <c r="AA31" s="34">
        <f t="shared" si="13"/>
        <v>0</v>
      </c>
      <c r="AB31" s="34">
        <f t="shared" si="13"/>
        <v>0</v>
      </c>
      <c r="AC31" s="34">
        <f t="shared" si="13"/>
        <v>0</v>
      </c>
      <c r="AD31" s="34">
        <f t="shared" si="13"/>
        <v>0</v>
      </c>
      <c r="AE31" s="34">
        <f t="shared" si="13"/>
        <v>0</v>
      </c>
      <c r="AF31" s="34">
        <f t="shared" si="13"/>
        <v>0</v>
      </c>
      <c r="AG31" s="34">
        <f t="shared" si="13"/>
        <v>0</v>
      </c>
      <c r="AH31" s="34">
        <f t="shared" si="13"/>
        <v>0</v>
      </c>
      <c r="AI31" s="34">
        <f t="shared" si="13"/>
        <v>0</v>
      </c>
      <c r="AJ31" s="34">
        <f t="shared" si="13"/>
        <v>0</v>
      </c>
      <c r="AK31" s="34">
        <f t="shared" si="13"/>
        <v>0</v>
      </c>
      <c r="AL31" s="34">
        <f t="shared" si="13"/>
        <v>0</v>
      </c>
      <c r="AM31" s="34">
        <f t="shared" si="13"/>
        <v>0</v>
      </c>
      <c r="AN31" s="34">
        <f t="shared" si="13"/>
        <v>0</v>
      </c>
      <c r="AO31" s="34">
        <f t="shared" si="13"/>
        <v>0</v>
      </c>
      <c r="AP31" s="34">
        <f t="shared" si="13"/>
        <v>0</v>
      </c>
      <c r="AQ31" s="34">
        <f t="shared" si="13"/>
        <v>0</v>
      </c>
      <c r="AR31" s="34">
        <f t="shared" si="13"/>
        <v>0</v>
      </c>
      <c r="AS31" s="34">
        <f t="shared" si="13"/>
        <v>0</v>
      </c>
    </row>
    <row r="32" spans="2:1006" outlineLevel="1" x14ac:dyDescent="0.35">
      <c r="C32" s="33" t="s">
        <v>121</v>
      </c>
      <c r="E32" s="33" t="s">
        <v>90</v>
      </c>
      <c r="I32" s="21">
        <f>SUM(J32:XFD32)</f>
        <v>5000000</v>
      </c>
      <c r="J32" s="34">
        <f>J29*J23</f>
        <v>0</v>
      </c>
      <c r="K32" s="34">
        <f t="shared" ref="K32:AS32" si="14">K29*K23</f>
        <v>333333.33333333331</v>
      </c>
      <c r="L32" s="34">
        <f t="shared" si="14"/>
        <v>333333.33333333331</v>
      </c>
      <c r="M32" s="34">
        <f t="shared" si="14"/>
        <v>333333.33333333331</v>
      </c>
      <c r="N32" s="34">
        <f t="shared" si="14"/>
        <v>333333.33333333331</v>
      </c>
      <c r="O32" s="34">
        <f t="shared" si="14"/>
        <v>333333.33333333331</v>
      </c>
      <c r="P32" s="34">
        <f t="shared" si="14"/>
        <v>333333.33333333331</v>
      </c>
      <c r="Q32" s="34">
        <f t="shared" si="14"/>
        <v>333333.33333333331</v>
      </c>
      <c r="R32" s="34">
        <f t="shared" si="14"/>
        <v>333333.33333333331</v>
      </c>
      <c r="S32" s="34">
        <f t="shared" si="14"/>
        <v>333333.33333333331</v>
      </c>
      <c r="T32" s="34">
        <f t="shared" si="14"/>
        <v>333333.33333333331</v>
      </c>
      <c r="U32" s="34">
        <f t="shared" si="14"/>
        <v>333333.33333333331</v>
      </c>
      <c r="V32" s="34">
        <f t="shared" si="14"/>
        <v>333333.33333333331</v>
      </c>
      <c r="W32" s="34">
        <f t="shared" si="14"/>
        <v>333333.33333333331</v>
      </c>
      <c r="X32" s="34">
        <f t="shared" si="14"/>
        <v>333333.33333333331</v>
      </c>
      <c r="Y32" s="34">
        <f t="shared" si="14"/>
        <v>333333.33333333331</v>
      </c>
      <c r="Z32" s="34">
        <f t="shared" si="14"/>
        <v>0</v>
      </c>
      <c r="AA32" s="34">
        <f t="shared" si="14"/>
        <v>0</v>
      </c>
      <c r="AB32" s="34">
        <f t="shared" si="14"/>
        <v>0</v>
      </c>
      <c r="AC32" s="34">
        <f t="shared" si="14"/>
        <v>0</v>
      </c>
      <c r="AD32" s="34">
        <f t="shared" si="14"/>
        <v>0</v>
      </c>
      <c r="AE32" s="34">
        <f t="shared" si="14"/>
        <v>0</v>
      </c>
      <c r="AF32" s="34">
        <f t="shared" si="14"/>
        <v>0</v>
      </c>
      <c r="AG32" s="34">
        <f t="shared" si="14"/>
        <v>0</v>
      </c>
      <c r="AH32" s="34">
        <f t="shared" si="14"/>
        <v>0</v>
      </c>
      <c r="AI32" s="34">
        <f t="shared" si="14"/>
        <v>0</v>
      </c>
      <c r="AJ32" s="34">
        <f t="shared" si="14"/>
        <v>0</v>
      </c>
      <c r="AK32" s="34">
        <f t="shared" si="14"/>
        <v>0</v>
      </c>
      <c r="AL32" s="34">
        <f t="shared" si="14"/>
        <v>0</v>
      </c>
      <c r="AM32" s="34">
        <f t="shared" si="14"/>
        <v>0</v>
      </c>
      <c r="AN32" s="34">
        <f t="shared" si="14"/>
        <v>0</v>
      </c>
      <c r="AO32" s="34">
        <f t="shared" si="14"/>
        <v>0</v>
      </c>
      <c r="AP32" s="34">
        <f t="shared" si="14"/>
        <v>0</v>
      </c>
      <c r="AQ32" s="34">
        <f t="shared" si="14"/>
        <v>0</v>
      </c>
      <c r="AR32" s="34">
        <f t="shared" si="14"/>
        <v>0</v>
      </c>
      <c r="AS32" s="34">
        <f t="shared" si="14"/>
        <v>0</v>
      </c>
    </row>
    <row r="33" spans="2:1006" outlineLevel="1" x14ac:dyDescent="0.35">
      <c r="C33" s="36" t="s">
        <v>122</v>
      </c>
      <c r="D33" s="36"/>
      <c r="E33" s="36" t="s">
        <v>90</v>
      </c>
      <c r="F33" s="36"/>
      <c r="G33" s="36"/>
      <c r="H33" s="36"/>
      <c r="I33" s="22">
        <f>SUM(J33:XFD33)</f>
        <v>85749999.99999994</v>
      </c>
      <c r="J33" s="37">
        <f>SUM(J31:J32)</f>
        <v>0</v>
      </c>
      <c r="K33" s="37">
        <f t="shared" ref="K33:AS33" si="15">SUM(K31:K32)</f>
        <v>32633333.333333332</v>
      </c>
      <c r="L33" s="37">
        <f t="shared" si="15"/>
        <v>19713333.333333332</v>
      </c>
      <c r="M33" s="37">
        <f t="shared" si="15"/>
        <v>11961333.333333334</v>
      </c>
      <c r="N33" s="37">
        <f t="shared" si="15"/>
        <v>9054333.333333334</v>
      </c>
      <c r="O33" s="37">
        <f t="shared" si="15"/>
        <v>9054333.333333334</v>
      </c>
      <c r="P33" s="37">
        <f t="shared" si="15"/>
        <v>333333.33333333331</v>
      </c>
      <c r="Q33" s="37">
        <f t="shared" si="15"/>
        <v>333333.33333333331</v>
      </c>
      <c r="R33" s="37">
        <f t="shared" si="15"/>
        <v>333333.33333333331</v>
      </c>
      <c r="S33" s="37">
        <f t="shared" si="15"/>
        <v>333333.33333333331</v>
      </c>
      <c r="T33" s="37">
        <f t="shared" si="15"/>
        <v>333333.33333333331</v>
      </c>
      <c r="U33" s="37">
        <f t="shared" si="15"/>
        <v>333333.33333333331</v>
      </c>
      <c r="V33" s="37">
        <f t="shared" si="15"/>
        <v>333333.33333333331</v>
      </c>
      <c r="W33" s="37">
        <f t="shared" si="15"/>
        <v>333333.33333333331</v>
      </c>
      <c r="X33" s="37">
        <f t="shared" si="15"/>
        <v>333333.33333333331</v>
      </c>
      <c r="Y33" s="37">
        <f t="shared" si="15"/>
        <v>333333.33333333331</v>
      </c>
      <c r="Z33" s="37">
        <f t="shared" si="15"/>
        <v>0</v>
      </c>
      <c r="AA33" s="37">
        <f t="shared" si="15"/>
        <v>0</v>
      </c>
      <c r="AB33" s="37">
        <f t="shared" si="15"/>
        <v>0</v>
      </c>
      <c r="AC33" s="37">
        <f t="shared" si="15"/>
        <v>0</v>
      </c>
      <c r="AD33" s="37">
        <f t="shared" si="15"/>
        <v>0</v>
      </c>
      <c r="AE33" s="37">
        <f t="shared" si="15"/>
        <v>0</v>
      </c>
      <c r="AF33" s="37">
        <f t="shared" si="15"/>
        <v>0</v>
      </c>
      <c r="AG33" s="37">
        <f t="shared" si="15"/>
        <v>0</v>
      </c>
      <c r="AH33" s="37">
        <f t="shared" si="15"/>
        <v>0</v>
      </c>
      <c r="AI33" s="37">
        <f t="shared" si="15"/>
        <v>0</v>
      </c>
      <c r="AJ33" s="37">
        <f t="shared" si="15"/>
        <v>0</v>
      </c>
      <c r="AK33" s="37">
        <f t="shared" si="15"/>
        <v>0</v>
      </c>
      <c r="AL33" s="37">
        <f t="shared" si="15"/>
        <v>0</v>
      </c>
      <c r="AM33" s="37">
        <f t="shared" si="15"/>
        <v>0</v>
      </c>
      <c r="AN33" s="37">
        <f t="shared" si="15"/>
        <v>0</v>
      </c>
      <c r="AO33" s="37">
        <f t="shared" si="15"/>
        <v>0</v>
      </c>
      <c r="AP33" s="37">
        <f t="shared" si="15"/>
        <v>0</v>
      </c>
      <c r="AQ33" s="37">
        <f t="shared" si="15"/>
        <v>0</v>
      </c>
      <c r="AR33" s="37">
        <f t="shared" si="15"/>
        <v>0</v>
      </c>
      <c r="AS33" s="37">
        <f t="shared" si="15"/>
        <v>0</v>
      </c>
    </row>
    <row r="34" spans="2:1006" outlineLevel="1" x14ac:dyDescent="0.35"/>
    <row r="35" spans="2:1006" x14ac:dyDescent="0.35">
      <c r="B35" s="28" t="s">
        <v>123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</row>
    <row r="36" spans="2:1006" x14ac:dyDescent="0.35">
      <c r="C36" s="33" t="s">
        <v>104</v>
      </c>
      <c r="E36" s="33" t="s">
        <v>90</v>
      </c>
      <c r="J36" s="34">
        <f>J12</f>
        <v>0</v>
      </c>
      <c r="K36" s="34">
        <f t="shared" ref="K36:AS36" si="16">K12</f>
        <v>5023375</v>
      </c>
      <c r="L36" s="34">
        <f t="shared" si="16"/>
        <v>4971483.125</v>
      </c>
      <c r="M36" s="34">
        <f t="shared" si="16"/>
        <v>4919315.2093749996</v>
      </c>
      <c r="N36" s="34">
        <f t="shared" si="16"/>
        <v>4866861.9233281258</v>
      </c>
      <c r="O36" s="34">
        <f t="shared" si="16"/>
        <v>4814113.7695114845</v>
      </c>
      <c r="P36" s="34">
        <f t="shared" si="16"/>
        <v>4761061.079579927</v>
      </c>
      <c r="Q36" s="34">
        <f t="shared" si="16"/>
        <v>4707694.0106763486</v>
      </c>
      <c r="R36" s="34">
        <f t="shared" si="16"/>
        <v>4654002.5418471722</v>
      </c>
      <c r="S36" s="34">
        <f t="shared" si="16"/>
        <v>4599976.4703866262</v>
      </c>
      <c r="T36" s="34">
        <f t="shared" si="16"/>
        <v>4545605.4081083573</v>
      </c>
      <c r="U36" s="34">
        <f t="shared" si="16"/>
        <v>4490878.7775429534</v>
      </c>
      <c r="V36" s="34">
        <f t="shared" si="16"/>
        <v>4435785.8080598786</v>
      </c>
      <c r="W36" s="34">
        <f t="shared" si="16"/>
        <v>4380315.5319123119</v>
      </c>
      <c r="X36" s="34">
        <f t="shared" si="16"/>
        <v>4324456.7802033387</v>
      </c>
      <c r="Y36" s="34">
        <f t="shared" si="16"/>
        <v>4268198.1787719224</v>
      </c>
      <c r="Z36" s="34">
        <f t="shared" si="16"/>
        <v>4211528.1439970536</v>
      </c>
      <c r="AA36" s="34">
        <f t="shared" si="16"/>
        <v>4154434.8785184389</v>
      </c>
      <c r="AB36" s="34">
        <f t="shared" si="16"/>
        <v>4096906.3668720461</v>
      </c>
      <c r="AC36" s="34">
        <f t="shared" si="16"/>
        <v>4038930.3710388094</v>
      </c>
      <c r="AD36" s="34">
        <f t="shared" si="16"/>
        <v>3980494.4259047606</v>
      </c>
      <c r="AE36" s="34">
        <f t="shared" si="16"/>
        <v>5496738.8334089816</v>
      </c>
      <c r="AF36" s="34">
        <f t="shared" si="16"/>
        <v>5429468.8977146167</v>
      </c>
      <c r="AG36" s="34">
        <f t="shared" si="16"/>
        <v>5361739.5868681762</v>
      </c>
      <c r="AH36" s="34">
        <f t="shared" si="16"/>
        <v>5293537.283248811</v>
      </c>
      <c r="AI36" s="34">
        <f t="shared" si="16"/>
        <v>5224848.1190338433</v>
      </c>
      <c r="AJ36" s="34">
        <f t="shared" si="16"/>
        <v>5155657.9710839754</v>
      </c>
      <c r="AK36" s="34">
        <f t="shared" si="16"/>
        <v>5085952.4557267623</v>
      </c>
      <c r="AL36" s="34">
        <f t="shared" si="16"/>
        <v>5015716.9234362999</v>
      </c>
      <c r="AM36" s="34">
        <f t="shared" si="16"/>
        <v>4944936.453407052</v>
      </c>
      <c r="AN36" s="34">
        <f t="shared" si="16"/>
        <v>4873595.8480197098</v>
      </c>
      <c r="AO36" s="34">
        <f t="shared" si="16"/>
        <v>4801679.6271968987</v>
      </c>
      <c r="AP36" s="34">
        <f t="shared" si="16"/>
        <v>4729172.0226465464</v>
      </c>
      <c r="AQ36" s="34">
        <f t="shared" si="16"/>
        <v>4656056.9719906589</v>
      </c>
      <c r="AR36" s="34">
        <f t="shared" si="16"/>
        <v>4582318.1127771977</v>
      </c>
      <c r="AS36" s="34">
        <f t="shared" si="16"/>
        <v>4507938.7763727345</v>
      </c>
    </row>
    <row r="37" spans="2:1006" x14ac:dyDescent="0.35">
      <c r="C37" s="33" t="s">
        <v>124</v>
      </c>
      <c r="E37" s="33" t="s">
        <v>90</v>
      </c>
      <c r="J37" s="34">
        <f>J33</f>
        <v>0</v>
      </c>
      <c r="K37" s="34">
        <f t="shared" ref="K37:AS37" si="17">K33</f>
        <v>32633333.333333332</v>
      </c>
      <c r="L37" s="34">
        <f t="shared" si="17"/>
        <v>19713333.333333332</v>
      </c>
      <c r="M37" s="34">
        <f t="shared" si="17"/>
        <v>11961333.333333334</v>
      </c>
      <c r="N37" s="34">
        <f t="shared" si="17"/>
        <v>9054333.333333334</v>
      </c>
      <c r="O37" s="34">
        <f t="shared" si="17"/>
        <v>9054333.333333334</v>
      </c>
      <c r="P37" s="34">
        <f t="shared" si="17"/>
        <v>333333.33333333331</v>
      </c>
      <c r="Q37" s="34">
        <f t="shared" si="17"/>
        <v>333333.33333333331</v>
      </c>
      <c r="R37" s="34">
        <f t="shared" si="17"/>
        <v>333333.33333333331</v>
      </c>
      <c r="S37" s="34">
        <f t="shared" si="17"/>
        <v>333333.33333333331</v>
      </c>
      <c r="T37" s="34">
        <f t="shared" si="17"/>
        <v>333333.33333333331</v>
      </c>
      <c r="U37" s="34">
        <f t="shared" si="17"/>
        <v>333333.33333333331</v>
      </c>
      <c r="V37" s="34">
        <f t="shared" si="17"/>
        <v>333333.33333333331</v>
      </c>
      <c r="W37" s="34">
        <f t="shared" si="17"/>
        <v>333333.33333333331</v>
      </c>
      <c r="X37" s="34">
        <f t="shared" si="17"/>
        <v>333333.33333333331</v>
      </c>
      <c r="Y37" s="34">
        <f t="shared" si="17"/>
        <v>333333.33333333331</v>
      </c>
      <c r="Z37" s="34">
        <f t="shared" si="17"/>
        <v>0</v>
      </c>
      <c r="AA37" s="34">
        <f t="shared" si="17"/>
        <v>0</v>
      </c>
      <c r="AB37" s="34">
        <f t="shared" si="17"/>
        <v>0</v>
      </c>
      <c r="AC37" s="34">
        <f t="shared" si="17"/>
        <v>0</v>
      </c>
      <c r="AD37" s="34">
        <f t="shared" si="17"/>
        <v>0</v>
      </c>
      <c r="AE37" s="34">
        <f t="shared" si="17"/>
        <v>0</v>
      </c>
      <c r="AF37" s="34">
        <f t="shared" si="17"/>
        <v>0</v>
      </c>
      <c r="AG37" s="34">
        <f t="shared" si="17"/>
        <v>0</v>
      </c>
      <c r="AH37" s="34">
        <f t="shared" si="17"/>
        <v>0</v>
      </c>
      <c r="AI37" s="34">
        <f t="shared" si="17"/>
        <v>0</v>
      </c>
      <c r="AJ37" s="34">
        <f t="shared" si="17"/>
        <v>0</v>
      </c>
      <c r="AK37" s="34">
        <f t="shared" si="17"/>
        <v>0</v>
      </c>
      <c r="AL37" s="34">
        <f t="shared" si="17"/>
        <v>0</v>
      </c>
      <c r="AM37" s="34">
        <f t="shared" si="17"/>
        <v>0</v>
      </c>
      <c r="AN37" s="34">
        <f t="shared" si="17"/>
        <v>0</v>
      </c>
      <c r="AO37" s="34">
        <f t="shared" si="17"/>
        <v>0</v>
      </c>
      <c r="AP37" s="34">
        <f t="shared" si="17"/>
        <v>0</v>
      </c>
      <c r="AQ37" s="34">
        <f t="shared" si="17"/>
        <v>0</v>
      </c>
      <c r="AR37" s="34">
        <f t="shared" si="17"/>
        <v>0</v>
      </c>
      <c r="AS37" s="34">
        <f t="shared" si="17"/>
        <v>0</v>
      </c>
    </row>
    <row r="38" spans="2:1006" x14ac:dyDescent="0.35">
      <c r="C38" s="36" t="s">
        <v>125</v>
      </c>
      <c r="D38" s="36"/>
      <c r="E38" s="36" t="s">
        <v>90</v>
      </c>
      <c r="F38" s="36"/>
      <c r="G38" s="36"/>
      <c r="H38" s="36"/>
      <c r="I38" s="36"/>
      <c r="J38" s="37">
        <f>J36-J37</f>
        <v>0</v>
      </c>
      <c r="K38" s="37">
        <f t="shared" ref="K38:AS38" si="18">K36-K37</f>
        <v>-27609958.333333332</v>
      </c>
      <c r="L38" s="37">
        <f t="shared" si="18"/>
        <v>-14741850.208333332</v>
      </c>
      <c r="M38" s="37">
        <f t="shared" si="18"/>
        <v>-7042018.1239583343</v>
      </c>
      <c r="N38" s="37">
        <f t="shared" si="18"/>
        <v>-4187471.4100052081</v>
      </c>
      <c r="O38" s="37">
        <f t="shared" si="18"/>
        <v>-4240219.5638218494</v>
      </c>
      <c r="P38" s="37">
        <f t="shared" si="18"/>
        <v>4427727.746246594</v>
      </c>
      <c r="Q38" s="37">
        <f t="shared" si="18"/>
        <v>4374360.6773430156</v>
      </c>
      <c r="R38" s="37">
        <f t="shared" si="18"/>
        <v>4320669.2085138392</v>
      </c>
      <c r="S38" s="37">
        <f t="shared" si="18"/>
        <v>4266643.1370532932</v>
      </c>
      <c r="T38" s="37">
        <f t="shared" si="18"/>
        <v>4212272.0747750243</v>
      </c>
      <c r="U38" s="37">
        <f t="shared" si="18"/>
        <v>4157545.4442096199</v>
      </c>
      <c r="V38" s="37">
        <f t="shared" si="18"/>
        <v>4102452.4747265452</v>
      </c>
      <c r="W38" s="37">
        <f t="shared" si="18"/>
        <v>4046982.1985789784</v>
      </c>
      <c r="X38" s="37">
        <f t="shared" si="18"/>
        <v>3991123.4468700052</v>
      </c>
      <c r="Y38" s="37">
        <f t="shared" si="18"/>
        <v>3934864.8454385889</v>
      </c>
      <c r="Z38" s="37">
        <f t="shared" si="18"/>
        <v>4211528.1439970536</v>
      </c>
      <c r="AA38" s="37">
        <f t="shared" si="18"/>
        <v>4154434.8785184389</v>
      </c>
      <c r="AB38" s="37">
        <f t="shared" si="18"/>
        <v>4096906.3668720461</v>
      </c>
      <c r="AC38" s="37">
        <f t="shared" si="18"/>
        <v>4038930.3710388094</v>
      </c>
      <c r="AD38" s="37">
        <f t="shared" si="18"/>
        <v>3980494.4259047606</v>
      </c>
      <c r="AE38" s="37">
        <f t="shared" si="18"/>
        <v>5496738.8334089816</v>
      </c>
      <c r="AF38" s="37">
        <f t="shared" si="18"/>
        <v>5429468.8977146167</v>
      </c>
      <c r="AG38" s="37">
        <f t="shared" si="18"/>
        <v>5361739.5868681762</v>
      </c>
      <c r="AH38" s="37">
        <f t="shared" si="18"/>
        <v>5293537.283248811</v>
      </c>
      <c r="AI38" s="37">
        <f t="shared" si="18"/>
        <v>5224848.1190338433</v>
      </c>
      <c r="AJ38" s="37">
        <f t="shared" si="18"/>
        <v>5155657.9710839754</v>
      </c>
      <c r="AK38" s="37">
        <f t="shared" si="18"/>
        <v>5085952.4557267623</v>
      </c>
      <c r="AL38" s="37">
        <f t="shared" si="18"/>
        <v>5015716.9234362999</v>
      </c>
      <c r="AM38" s="37">
        <f t="shared" si="18"/>
        <v>4944936.453407052</v>
      </c>
      <c r="AN38" s="37">
        <f t="shared" si="18"/>
        <v>4873595.8480197098</v>
      </c>
      <c r="AO38" s="37">
        <f t="shared" si="18"/>
        <v>4801679.6271968987</v>
      </c>
      <c r="AP38" s="37">
        <f t="shared" si="18"/>
        <v>4729172.0226465464</v>
      </c>
      <c r="AQ38" s="37">
        <f t="shared" si="18"/>
        <v>4656056.9719906589</v>
      </c>
      <c r="AR38" s="37">
        <f t="shared" si="18"/>
        <v>4582318.1127771977</v>
      </c>
      <c r="AS38" s="37">
        <f t="shared" si="18"/>
        <v>4507938.7763727345</v>
      </c>
    </row>
    <row r="40" spans="2:1006" x14ac:dyDescent="0.35">
      <c r="C40" s="33" t="s">
        <v>126</v>
      </c>
      <c r="E40" s="33" t="s">
        <v>90</v>
      </c>
      <c r="F40" s="33" t="s">
        <v>60</v>
      </c>
      <c r="G40" s="27">
        <f>Inputs!F30</f>
        <v>0.21</v>
      </c>
      <c r="J40" s="34">
        <f>J38*$G$40</f>
        <v>0</v>
      </c>
      <c r="K40" s="34">
        <f t="shared" ref="K40:AS40" si="19">K38*$G$40</f>
        <v>-5798091.2499999991</v>
      </c>
      <c r="L40" s="34">
        <f t="shared" si="19"/>
        <v>-3095788.5437499997</v>
      </c>
      <c r="M40" s="34">
        <f t="shared" si="19"/>
        <v>-1478823.8060312502</v>
      </c>
      <c r="N40" s="34">
        <f t="shared" si="19"/>
        <v>-879368.99610109371</v>
      </c>
      <c r="O40" s="34">
        <f t="shared" si="19"/>
        <v>-890446.10840258829</v>
      </c>
      <c r="P40" s="34">
        <f t="shared" si="19"/>
        <v>929822.8267117847</v>
      </c>
      <c r="Q40" s="34">
        <f t="shared" si="19"/>
        <v>918615.74224203324</v>
      </c>
      <c r="R40" s="34">
        <f t="shared" si="19"/>
        <v>907340.53378790617</v>
      </c>
      <c r="S40" s="34">
        <f t="shared" si="19"/>
        <v>895995.05878119159</v>
      </c>
      <c r="T40" s="34">
        <f t="shared" si="19"/>
        <v>884577.13570275507</v>
      </c>
      <c r="U40" s="34">
        <f t="shared" si="19"/>
        <v>873084.54328402015</v>
      </c>
      <c r="V40" s="34">
        <f t="shared" si="19"/>
        <v>861515.01969257439</v>
      </c>
      <c r="W40" s="34">
        <f t="shared" si="19"/>
        <v>849866.26170158549</v>
      </c>
      <c r="X40" s="34">
        <f t="shared" si="19"/>
        <v>838135.92384270101</v>
      </c>
      <c r="Y40" s="34">
        <f t="shared" si="19"/>
        <v>826321.61754210363</v>
      </c>
      <c r="Z40" s="34">
        <f t="shared" si="19"/>
        <v>884420.91023938125</v>
      </c>
      <c r="AA40" s="34">
        <f t="shared" si="19"/>
        <v>872431.32448887208</v>
      </c>
      <c r="AB40" s="34">
        <f t="shared" si="19"/>
        <v>860350.33704312961</v>
      </c>
      <c r="AC40" s="34">
        <f t="shared" si="19"/>
        <v>848175.37791814993</v>
      </c>
      <c r="AD40" s="34">
        <f t="shared" si="19"/>
        <v>835903.82943999965</v>
      </c>
      <c r="AE40" s="34">
        <f t="shared" si="19"/>
        <v>1154315.1550158861</v>
      </c>
      <c r="AF40" s="34">
        <f t="shared" si="19"/>
        <v>1140188.4685200695</v>
      </c>
      <c r="AG40" s="34">
        <f t="shared" si="19"/>
        <v>1125965.3132423169</v>
      </c>
      <c r="AH40" s="34">
        <f t="shared" si="19"/>
        <v>1111642.8294822504</v>
      </c>
      <c r="AI40" s="34">
        <f t="shared" si="19"/>
        <v>1097218.1049971071</v>
      </c>
      <c r="AJ40" s="34">
        <f t="shared" si="19"/>
        <v>1082688.1739276347</v>
      </c>
      <c r="AK40" s="34">
        <f t="shared" si="19"/>
        <v>1068050.0157026201</v>
      </c>
      <c r="AL40" s="34">
        <f t="shared" si="19"/>
        <v>1053300.5539216229</v>
      </c>
      <c r="AM40" s="34">
        <f t="shared" si="19"/>
        <v>1038436.6552154808</v>
      </c>
      <c r="AN40" s="34">
        <f t="shared" si="19"/>
        <v>1023455.128084139</v>
      </c>
      <c r="AO40" s="34">
        <f t="shared" si="19"/>
        <v>1008352.7217113487</v>
      </c>
      <c r="AP40" s="34">
        <f t="shared" si="19"/>
        <v>993126.12475577474</v>
      </c>
      <c r="AQ40" s="34">
        <f t="shared" si="19"/>
        <v>977771.9641180383</v>
      </c>
      <c r="AR40" s="34">
        <f t="shared" si="19"/>
        <v>962286.80368321144</v>
      </c>
      <c r="AS40" s="34">
        <f t="shared" si="19"/>
        <v>946667.14303827425</v>
      </c>
    </row>
    <row r="41" spans="2:1006" x14ac:dyDescent="0.35">
      <c r="C41" s="33" t="s">
        <v>127</v>
      </c>
      <c r="E41" s="33" t="s">
        <v>90</v>
      </c>
      <c r="J41" s="34">
        <f>J16</f>
        <v>28500000</v>
      </c>
      <c r="K41" s="34">
        <f t="shared" ref="K41:AS41" si="20">K16</f>
        <v>0</v>
      </c>
      <c r="L41" s="34">
        <f t="shared" si="20"/>
        <v>0</v>
      </c>
      <c r="M41" s="34">
        <f t="shared" si="20"/>
        <v>0</v>
      </c>
      <c r="N41" s="34">
        <f t="shared" si="20"/>
        <v>0</v>
      </c>
      <c r="O41" s="34">
        <f t="shared" si="20"/>
        <v>0</v>
      </c>
      <c r="P41" s="34">
        <f t="shared" si="20"/>
        <v>0</v>
      </c>
      <c r="Q41" s="34">
        <f t="shared" si="20"/>
        <v>0</v>
      </c>
      <c r="R41" s="34">
        <f t="shared" si="20"/>
        <v>0</v>
      </c>
      <c r="S41" s="34">
        <f t="shared" si="20"/>
        <v>0</v>
      </c>
      <c r="T41" s="34">
        <f t="shared" si="20"/>
        <v>0</v>
      </c>
      <c r="U41" s="34">
        <f t="shared" si="20"/>
        <v>0</v>
      </c>
      <c r="V41" s="34">
        <f t="shared" si="20"/>
        <v>0</v>
      </c>
      <c r="W41" s="34">
        <f t="shared" si="20"/>
        <v>0</v>
      </c>
      <c r="X41" s="34">
        <f t="shared" si="20"/>
        <v>0</v>
      </c>
      <c r="Y41" s="34">
        <f t="shared" si="20"/>
        <v>0</v>
      </c>
      <c r="Z41" s="34">
        <f t="shared" si="20"/>
        <v>0</v>
      </c>
      <c r="AA41" s="34">
        <f t="shared" si="20"/>
        <v>0</v>
      </c>
      <c r="AB41" s="34">
        <f t="shared" si="20"/>
        <v>0</v>
      </c>
      <c r="AC41" s="34">
        <f t="shared" si="20"/>
        <v>0</v>
      </c>
      <c r="AD41" s="34">
        <f t="shared" si="20"/>
        <v>0</v>
      </c>
      <c r="AE41" s="34">
        <f t="shared" si="20"/>
        <v>0</v>
      </c>
      <c r="AF41" s="34">
        <f t="shared" si="20"/>
        <v>0</v>
      </c>
      <c r="AG41" s="34">
        <f t="shared" si="20"/>
        <v>0</v>
      </c>
      <c r="AH41" s="34">
        <f t="shared" si="20"/>
        <v>0</v>
      </c>
      <c r="AI41" s="34">
        <f t="shared" si="20"/>
        <v>0</v>
      </c>
      <c r="AJ41" s="34">
        <f t="shared" si="20"/>
        <v>0</v>
      </c>
      <c r="AK41" s="34">
        <f t="shared" si="20"/>
        <v>0</v>
      </c>
      <c r="AL41" s="34">
        <f t="shared" si="20"/>
        <v>0</v>
      </c>
      <c r="AM41" s="34">
        <f t="shared" si="20"/>
        <v>0</v>
      </c>
      <c r="AN41" s="34">
        <f t="shared" si="20"/>
        <v>0</v>
      </c>
      <c r="AO41" s="34">
        <f t="shared" si="20"/>
        <v>0</v>
      </c>
      <c r="AP41" s="34">
        <f t="shared" si="20"/>
        <v>0</v>
      </c>
      <c r="AQ41" s="34">
        <f t="shared" si="20"/>
        <v>0</v>
      </c>
      <c r="AR41" s="34">
        <f t="shared" si="20"/>
        <v>0</v>
      </c>
      <c r="AS41" s="34">
        <f t="shared" si="20"/>
        <v>0</v>
      </c>
    </row>
    <row r="43" spans="2:1006" x14ac:dyDescent="0.35">
      <c r="C43" s="33" t="s">
        <v>128</v>
      </c>
      <c r="E43" s="33" t="s">
        <v>90</v>
      </c>
      <c r="J43" s="34">
        <f>J36-J40+J41</f>
        <v>28500000</v>
      </c>
      <c r="K43" s="34">
        <f t="shared" ref="K43:AS43" si="21">K36-K40+K41</f>
        <v>10821466.25</v>
      </c>
      <c r="L43" s="34">
        <f t="shared" si="21"/>
        <v>8067271.6687499993</v>
      </c>
      <c r="M43" s="34">
        <f t="shared" si="21"/>
        <v>6398139.01540625</v>
      </c>
      <c r="N43" s="34">
        <f t="shared" si="21"/>
        <v>5746230.9194292193</v>
      </c>
      <c r="O43" s="34">
        <f t="shared" si="21"/>
        <v>5704559.8779140729</v>
      </c>
      <c r="P43" s="34">
        <f t="shared" si="21"/>
        <v>3831238.2528681424</v>
      </c>
      <c r="Q43" s="34">
        <f t="shared" si="21"/>
        <v>3789078.2684343155</v>
      </c>
      <c r="R43" s="34">
        <f t="shared" si="21"/>
        <v>3746662.008059266</v>
      </c>
      <c r="S43" s="34">
        <f t="shared" si="21"/>
        <v>3703981.4116054345</v>
      </c>
      <c r="T43" s="34">
        <f t="shared" si="21"/>
        <v>3661028.272405602</v>
      </c>
      <c r="U43" s="34">
        <f t="shared" si="21"/>
        <v>3617794.234258933</v>
      </c>
      <c r="V43" s="34">
        <f t="shared" si="21"/>
        <v>3574270.788367304</v>
      </c>
      <c r="W43" s="34">
        <f t="shared" si="21"/>
        <v>3530449.2702107262</v>
      </c>
      <c r="X43" s="34">
        <f t="shared" si="21"/>
        <v>3486320.8563606376</v>
      </c>
      <c r="Y43" s="34">
        <f t="shared" si="21"/>
        <v>3441876.5612298185</v>
      </c>
      <c r="Z43" s="34">
        <f t="shared" si="21"/>
        <v>3327107.2337576724</v>
      </c>
      <c r="AA43" s="34">
        <f t="shared" si="21"/>
        <v>3282003.5540295667</v>
      </c>
      <c r="AB43" s="34">
        <f t="shared" si="21"/>
        <v>3236556.0298289163</v>
      </c>
      <c r="AC43" s="34">
        <f t="shared" si="21"/>
        <v>3190754.9931206596</v>
      </c>
      <c r="AD43" s="34">
        <f t="shared" si="21"/>
        <v>3144590.5964647611</v>
      </c>
      <c r="AE43" s="34">
        <f t="shared" si="21"/>
        <v>4342423.6783930957</v>
      </c>
      <c r="AF43" s="34">
        <f t="shared" si="21"/>
        <v>4289280.4291945472</v>
      </c>
      <c r="AG43" s="34">
        <f t="shared" si="21"/>
        <v>4235774.2736258591</v>
      </c>
      <c r="AH43" s="34">
        <f t="shared" si="21"/>
        <v>4181894.4537665606</v>
      </c>
      <c r="AI43" s="34">
        <f t="shared" si="21"/>
        <v>4127630.0140367365</v>
      </c>
      <c r="AJ43" s="34">
        <f t="shared" si="21"/>
        <v>4072969.7971563404</v>
      </c>
      <c r="AK43" s="34">
        <f t="shared" si="21"/>
        <v>4017902.4400241422</v>
      </c>
      <c r="AL43" s="34">
        <f t="shared" si="21"/>
        <v>3962416.3695146767</v>
      </c>
      <c r="AM43" s="34">
        <f t="shared" si="21"/>
        <v>3906499.7981915711</v>
      </c>
      <c r="AN43" s="34">
        <f t="shared" si="21"/>
        <v>3850140.7199355708</v>
      </c>
      <c r="AO43" s="34">
        <f t="shared" si="21"/>
        <v>3793326.9054855499</v>
      </c>
      <c r="AP43" s="34">
        <f t="shared" si="21"/>
        <v>3736045.8978907717</v>
      </c>
      <c r="AQ43" s="34">
        <f t="shared" si="21"/>
        <v>3678285.0078726206</v>
      </c>
      <c r="AR43" s="34">
        <f t="shared" si="21"/>
        <v>3620031.3090939862</v>
      </c>
      <c r="AS43" s="34">
        <f t="shared" si="21"/>
        <v>3561271.6333344602</v>
      </c>
    </row>
    <row r="44" spans="2:1006" x14ac:dyDescent="0.35">
      <c r="C44" s="33" t="s">
        <v>129</v>
      </c>
      <c r="E44" s="33" t="s">
        <v>90</v>
      </c>
      <c r="J44" s="34">
        <f>J11</f>
        <v>100000000</v>
      </c>
      <c r="K44" s="34">
        <f t="shared" ref="K44:AS44" si="22">K11</f>
        <v>0</v>
      </c>
      <c r="L44" s="34">
        <f t="shared" si="22"/>
        <v>0</v>
      </c>
      <c r="M44" s="34">
        <f t="shared" si="22"/>
        <v>0</v>
      </c>
      <c r="N44" s="34">
        <f t="shared" si="22"/>
        <v>0</v>
      </c>
      <c r="O44" s="34">
        <f t="shared" si="22"/>
        <v>0</v>
      </c>
      <c r="P44" s="34">
        <f t="shared" si="22"/>
        <v>0</v>
      </c>
      <c r="Q44" s="34">
        <f t="shared" si="22"/>
        <v>0</v>
      </c>
      <c r="R44" s="34">
        <f t="shared" si="22"/>
        <v>0</v>
      </c>
      <c r="S44" s="34">
        <f t="shared" si="22"/>
        <v>0</v>
      </c>
      <c r="T44" s="34">
        <f t="shared" si="22"/>
        <v>0</v>
      </c>
      <c r="U44" s="34">
        <f t="shared" si="22"/>
        <v>0</v>
      </c>
      <c r="V44" s="34">
        <f t="shared" si="22"/>
        <v>0</v>
      </c>
      <c r="W44" s="34">
        <f t="shared" si="22"/>
        <v>0</v>
      </c>
      <c r="X44" s="34">
        <f t="shared" si="22"/>
        <v>0</v>
      </c>
      <c r="Y44" s="34">
        <f t="shared" si="22"/>
        <v>0</v>
      </c>
      <c r="Z44" s="34">
        <f t="shared" si="22"/>
        <v>0</v>
      </c>
      <c r="AA44" s="34">
        <f t="shared" si="22"/>
        <v>0</v>
      </c>
      <c r="AB44" s="34">
        <f t="shared" si="22"/>
        <v>0</v>
      </c>
      <c r="AC44" s="34">
        <f t="shared" si="22"/>
        <v>0</v>
      </c>
      <c r="AD44" s="34">
        <f t="shared" si="22"/>
        <v>0</v>
      </c>
      <c r="AE44" s="34">
        <f t="shared" si="22"/>
        <v>0</v>
      </c>
      <c r="AF44" s="34">
        <f t="shared" si="22"/>
        <v>0</v>
      </c>
      <c r="AG44" s="34">
        <f t="shared" si="22"/>
        <v>0</v>
      </c>
      <c r="AH44" s="34">
        <f t="shared" si="22"/>
        <v>0</v>
      </c>
      <c r="AI44" s="34">
        <f t="shared" si="22"/>
        <v>0</v>
      </c>
      <c r="AJ44" s="34">
        <f t="shared" si="22"/>
        <v>0</v>
      </c>
      <c r="AK44" s="34">
        <f t="shared" si="22"/>
        <v>0</v>
      </c>
      <c r="AL44" s="34">
        <f t="shared" si="22"/>
        <v>0</v>
      </c>
      <c r="AM44" s="34">
        <f t="shared" si="22"/>
        <v>0</v>
      </c>
      <c r="AN44" s="34">
        <f t="shared" si="22"/>
        <v>0</v>
      </c>
      <c r="AO44" s="34">
        <f t="shared" si="22"/>
        <v>0</v>
      </c>
      <c r="AP44" s="34">
        <f t="shared" si="22"/>
        <v>0</v>
      </c>
      <c r="AQ44" s="34">
        <f t="shared" si="22"/>
        <v>0</v>
      </c>
      <c r="AR44" s="34">
        <f t="shared" si="22"/>
        <v>0</v>
      </c>
      <c r="AS44" s="34">
        <f t="shared" si="22"/>
        <v>0</v>
      </c>
    </row>
    <row r="46" spans="2:1006" x14ac:dyDescent="0.35">
      <c r="C46" s="33" t="s">
        <v>130</v>
      </c>
      <c r="E46" s="33" t="s">
        <v>90</v>
      </c>
      <c r="J46" s="34">
        <f>J43-J44</f>
        <v>-71500000</v>
      </c>
      <c r="K46" s="34">
        <f t="shared" ref="K46:AS46" si="23">K43-K44</f>
        <v>10821466.25</v>
      </c>
      <c r="L46" s="34">
        <f t="shared" si="23"/>
        <v>8067271.6687499993</v>
      </c>
      <c r="M46" s="34">
        <f t="shared" si="23"/>
        <v>6398139.01540625</v>
      </c>
      <c r="N46" s="34">
        <f t="shared" si="23"/>
        <v>5746230.9194292193</v>
      </c>
      <c r="O46" s="34">
        <f t="shared" si="23"/>
        <v>5704559.8779140729</v>
      </c>
      <c r="P46" s="34">
        <f t="shared" si="23"/>
        <v>3831238.2528681424</v>
      </c>
      <c r="Q46" s="34">
        <f t="shared" si="23"/>
        <v>3789078.2684343155</v>
      </c>
      <c r="R46" s="34">
        <f t="shared" si="23"/>
        <v>3746662.008059266</v>
      </c>
      <c r="S46" s="34">
        <f t="shared" si="23"/>
        <v>3703981.4116054345</v>
      </c>
      <c r="T46" s="34">
        <f t="shared" si="23"/>
        <v>3661028.272405602</v>
      </c>
      <c r="U46" s="34">
        <f t="shared" si="23"/>
        <v>3617794.234258933</v>
      </c>
      <c r="V46" s="34">
        <f t="shared" si="23"/>
        <v>3574270.788367304</v>
      </c>
      <c r="W46" s="34">
        <f t="shared" si="23"/>
        <v>3530449.2702107262</v>
      </c>
      <c r="X46" s="34">
        <f t="shared" si="23"/>
        <v>3486320.8563606376</v>
      </c>
      <c r="Y46" s="34">
        <f t="shared" si="23"/>
        <v>3441876.5612298185</v>
      </c>
      <c r="Z46" s="34">
        <f t="shared" si="23"/>
        <v>3327107.2337576724</v>
      </c>
      <c r="AA46" s="34">
        <f t="shared" si="23"/>
        <v>3282003.5540295667</v>
      </c>
      <c r="AB46" s="34">
        <f t="shared" si="23"/>
        <v>3236556.0298289163</v>
      </c>
      <c r="AC46" s="34">
        <f t="shared" si="23"/>
        <v>3190754.9931206596</v>
      </c>
      <c r="AD46" s="34">
        <f t="shared" si="23"/>
        <v>3144590.5964647611</v>
      </c>
      <c r="AE46" s="34">
        <f t="shared" si="23"/>
        <v>4342423.6783930957</v>
      </c>
      <c r="AF46" s="34">
        <f t="shared" si="23"/>
        <v>4289280.4291945472</v>
      </c>
      <c r="AG46" s="34">
        <f t="shared" si="23"/>
        <v>4235774.2736258591</v>
      </c>
      <c r="AH46" s="34">
        <f t="shared" si="23"/>
        <v>4181894.4537665606</v>
      </c>
      <c r="AI46" s="34">
        <f t="shared" si="23"/>
        <v>4127630.0140367365</v>
      </c>
      <c r="AJ46" s="34">
        <f t="shared" si="23"/>
        <v>4072969.7971563404</v>
      </c>
      <c r="AK46" s="34">
        <f t="shared" si="23"/>
        <v>4017902.4400241422</v>
      </c>
      <c r="AL46" s="34">
        <f t="shared" si="23"/>
        <v>3962416.3695146767</v>
      </c>
      <c r="AM46" s="34">
        <f t="shared" si="23"/>
        <v>3906499.7981915711</v>
      </c>
      <c r="AN46" s="34">
        <f t="shared" si="23"/>
        <v>3850140.7199355708</v>
      </c>
      <c r="AO46" s="34">
        <f t="shared" si="23"/>
        <v>3793326.9054855499</v>
      </c>
      <c r="AP46" s="34">
        <f t="shared" si="23"/>
        <v>3736045.8978907717</v>
      </c>
      <c r="AQ46" s="34">
        <f t="shared" si="23"/>
        <v>3678285.0078726206</v>
      </c>
      <c r="AR46" s="34">
        <f t="shared" si="23"/>
        <v>3620031.3090939862</v>
      </c>
      <c r="AS46" s="34">
        <f t="shared" si="23"/>
        <v>3561271.6333344602</v>
      </c>
    </row>
    <row r="47" spans="2:1006" x14ac:dyDescent="0.35">
      <c r="C47" s="33" t="s">
        <v>131</v>
      </c>
      <c r="F47" s="38">
        <f>IRR(J46:AS46)</f>
        <v>5.7171142763451366E-2</v>
      </c>
    </row>
  </sheetData>
  <conditionalFormatting sqref="A1:XFD1048576">
    <cfRule type="expression" dxfId="27" priority="7">
      <formula>AND(A1&lt;&gt;"",A1=FALSE)</formula>
    </cfRule>
    <cfRule type="expression" dxfId="26" priority="8">
      <formula>A1=TRUE</formula>
    </cfRule>
  </conditionalFormatting>
  <conditionalFormatting sqref="J6:AAA6">
    <cfRule type="expression" dxfId="25" priority="5">
      <formula>AND(J6=0,J6&lt;&gt;"")</formula>
    </cfRule>
    <cfRule type="expression" dxfId="24" priority="6">
      <formula>J6=1</formula>
    </cfRule>
  </conditionalFormatting>
  <conditionalFormatting sqref="J7:AAA7">
    <cfRule type="expression" dxfId="23" priority="3">
      <formula>AND(J7=0,J7&lt;&gt;"")</formula>
    </cfRule>
    <cfRule type="expression" dxfId="22" priority="4">
      <formula>J7=1</formula>
    </cfRule>
  </conditionalFormatting>
  <conditionalFormatting sqref="J8:AAA8">
    <cfRule type="expression" dxfId="21" priority="1">
      <formula>AND(J8=0,J8&lt;&gt;"")</formula>
    </cfRule>
    <cfRule type="expression" dxfId="20" priority="2">
      <formula>J8=1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495D-A249-417A-BEF6-DAEA0B146671}">
  <sheetPr codeName="Sheet5"/>
  <dimension ref="B1:ALR124"/>
  <sheetViews>
    <sheetView showGridLines="0" zoomScale="80" zoomScaleNormal="80" workbookViewId="0">
      <pane xSplit="9" ySplit="9" topLeftCell="J37" activePane="bottomRight" state="frozen"/>
      <selection pane="topRight" activeCell="J1" sqref="J1"/>
      <selection pane="bottomLeft" activeCell="A10" sqref="A10"/>
      <selection pane="bottomRight" activeCell="F37" sqref="F37"/>
    </sheetView>
  </sheetViews>
  <sheetFormatPr defaultRowHeight="14.5" outlineLevelRow="1" x14ac:dyDescent="0.35"/>
  <cols>
    <col min="1" max="3" width="1.6328125" style="33" customWidth="1"/>
    <col min="4" max="4" width="26.90625" style="33" customWidth="1"/>
    <col min="5" max="7" width="10.36328125" style="33" customWidth="1"/>
    <col min="8" max="8" width="11.7265625" style="33" customWidth="1"/>
    <col min="9" max="9" width="14.6328125" style="33" customWidth="1"/>
    <col min="10" max="10" width="13.6328125" style="33" bestFit="1" customWidth="1"/>
    <col min="11" max="45" width="11.90625" style="33" customWidth="1"/>
    <col min="46" max="16384" width="8.7265625" style="33"/>
  </cols>
  <sheetData>
    <row r="1" spans="2:1006" s="29" customFormat="1" ht="29" x14ac:dyDescent="0.35">
      <c r="B1" s="29" t="s">
        <v>68</v>
      </c>
      <c r="E1" s="30" t="s">
        <v>88</v>
      </c>
      <c r="F1" s="30" t="s">
        <v>89</v>
      </c>
      <c r="G1" s="41" t="s">
        <v>83</v>
      </c>
      <c r="H1" s="31" t="s">
        <v>83</v>
      </c>
      <c r="I1" s="31" t="s">
        <v>84</v>
      </c>
    </row>
    <row r="2" spans="2:1006" s="29" customFormat="1" outlineLevel="1" x14ac:dyDescent="0.35">
      <c r="C2" s="29" t="s">
        <v>71</v>
      </c>
      <c r="J2" s="29">
        <v>0</v>
      </c>
      <c r="K2" s="29">
        <v>1</v>
      </c>
      <c r="L2" s="29">
        <v>2</v>
      </c>
      <c r="M2" s="29">
        <v>3</v>
      </c>
      <c r="N2" s="29">
        <v>4</v>
      </c>
      <c r="O2" s="29">
        <v>5</v>
      </c>
      <c r="P2" s="29">
        <v>6</v>
      </c>
      <c r="Q2" s="29">
        <v>7</v>
      </c>
      <c r="R2" s="29">
        <v>8</v>
      </c>
      <c r="S2" s="29">
        <v>9</v>
      </c>
      <c r="T2" s="29">
        <v>10</v>
      </c>
      <c r="U2" s="29">
        <v>11</v>
      </c>
      <c r="V2" s="29">
        <v>12</v>
      </c>
      <c r="W2" s="29">
        <v>13</v>
      </c>
      <c r="X2" s="29">
        <v>14</v>
      </c>
      <c r="Y2" s="29">
        <v>15</v>
      </c>
      <c r="Z2" s="29">
        <v>16</v>
      </c>
      <c r="AA2" s="29">
        <v>17</v>
      </c>
      <c r="AB2" s="29">
        <v>18</v>
      </c>
      <c r="AC2" s="29">
        <v>19</v>
      </c>
      <c r="AD2" s="29">
        <v>20</v>
      </c>
      <c r="AE2" s="29">
        <v>21</v>
      </c>
      <c r="AF2" s="29">
        <v>22</v>
      </c>
      <c r="AG2" s="29">
        <v>23</v>
      </c>
      <c r="AH2" s="29">
        <v>24</v>
      </c>
      <c r="AI2" s="29">
        <v>25</v>
      </c>
      <c r="AJ2" s="29">
        <v>26</v>
      </c>
      <c r="AK2" s="29">
        <v>27</v>
      </c>
      <c r="AL2" s="29">
        <v>28</v>
      </c>
      <c r="AM2" s="29">
        <v>29</v>
      </c>
      <c r="AN2" s="29">
        <v>30</v>
      </c>
      <c r="AO2" s="29">
        <v>31</v>
      </c>
      <c r="AP2" s="29">
        <v>32</v>
      </c>
      <c r="AQ2" s="29">
        <v>33</v>
      </c>
      <c r="AR2" s="29">
        <v>34</v>
      </c>
      <c r="AS2" s="29">
        <v>35</v>
      </c>
    </row>
    <row r="3" spans="2:1006" s="29" customFormat="1" outlineLevel="1" x14ac:dyDescent="0.35">
      <c r="C3" s="29" t="s">
        <v>69</v>
      </c>
      <c r="H3" s="29">
        <f>G34</f>
        <v>1.4</v>
      </c>
      <c r="J3" s="32">
        <v>43831</v>
      </c>
      <c r="K3" s="32">
        <f>J4+1</f>
        <v>44197</v>
      </c>
      <c r="L3" s="32">
        <f t="shared" ref="L3:AS3" si="0">K4+1</f>
        <v>44562</v>
      </c>
      <c r="M3" s="32">
        <f t="shared" si="0"/>
        <v>44927</v>
      </c>
      <c r="N3" s="32">
        <f t="shared" si="0"/>
        <v>45292</v>
      </c>
      <c r="O3" s="32">
        <f t="shared" si="0"/>
        <v>45658</v>
      </c>
      <c r="P3" s="32">
        <f t="shared" si="0"/>
        <v>46023</v>
      </c>
      <c r="Q3" s="32">
        <f t="shared" si="0"/>
        <v>46388</v>
      </c>
      <c r="R3" s="32">
        <f t="shared" si="0"/>
        <v>46753</v>
      </c>
      <c r="S3" s="32">
        <f t="shared" si="0"/>
        <v>47119</v>
      </c>
      <c r="T3" s="32">
        <f t="shared" si="0"/>
        <v>47484</v>
      </c>
      <c r="U3" s="32">
        <f t="shared" si="0"/>
        <v>47849</v>
      </c>
      <c r="V3" s="32">
        <f t="shared" si="0"/>
        <v>48214</v>
      </c>
      <c r="W3" s="32">
        <f t="shared" si="0"/>
        <v>48580</v>
      </c>
      <c r="X3" s="32">
        <f t="shared" si="0"/>
        <v>48945</v>
      </c>
      <c r="Y3" s="32">
        <f t="shared" si="0"/>
        <v>49310</v>
      </c>
      <c r="Z3" s="32">
        <f t="shared" si="0"/>
        <v>49675</v>
      </c>
      <c r="AA3" s="32">
        <f t="shared" si="0"/>
        <v>50041</v>
      </c>
      <c r="AB3" s="32">
        <f t="shared" si="0"/>
        <v>50406</v>
      </c>
      <c r="AC3" s="32">
        <f t="shared" si="0"/>
        <v>50771</v>
      </c>
      <c r="AD3" s="32">
        <f t="shared" si="0"/>
        <v>51136</v>
      </c>
      <c r="AE3" s="32">
        <f t="shared" si="0"/>
        <v>51502</v>
      </c>
      <c r="AF3" s="32">
        <f t="shared" si="0"/>
        <v>51867</v>
      </c>
      <c r="AG3" s="32">
        <f t="shared" si="0"/>
        <v>52232</v>
      </c>
      <c r="AH3" s="32">
        <f t="shared" si="0"/>
        <v>52597</v>
      </c>
      <c r="AI3" s="32">
        <f t="shared" si="0"/>
        <v>52963</v>
      </c>
      <c r="AJ3" s="32">
        <f t="shared" si="0"/>
        <v>53328</v>
      </c>
      <c r="AK3" s="32">
        <f t="shared" si="0"/>
        <v>53693</v>
      </c>
      <c r="AL3" s="32">
        <f t="shared" si="0"/>
        <v>54058</v>
      </c>
      <c r="AM3" s="32">
        <f t="shared" si="0"/>
        <v>54424</v>
      </c>
      <c r="AN3" s="32">
        <f t="shared" si="0"/>
        <v>54789</v>
      </c>
      <c r="AO3" s="32">
        <f t="shared" si="0"/>
        <v>55154</v>
      </c>
      <c r="AP3" s="32">
        <f t="shared" si="0"/>
        <v>55519</v>
      </c>
      <c r="AQ3" s="32">
        <f t="shared" si="0"/>
        <v>55885</v>
      </c>
      <c r="AR3" s="32">
        <f t="shared" si="0"/>
        <v>56250</v>
      </c>
      <c r="AS3" s="32">
        <f t="shared" si="0"/>
        <v>56615</v>
      </c>
    </row>
    <row r="4" spans="2:1006" s="29" customFormat="1" outlineLevel="1" x14ac:dyDescent="0.35">
      <c r="C4" s="29" t="s">
        <v>70</v>
      </c>
      <c r="J4" s="32">
        <f>Inputs!$F$8</f>
        <v>44196</v>
      </c>
      <c r="K4" s="32">
        <f>EOMONTH(K3,11)</f>
        <v>44561</v>
      </c>
      <c r="L4" s="32">
        <f t="shared" ref="L4:AS4" si="1">EOMONTH(L3,11)</f>
        <v>44926</v>
      </c>
      <c r="M4" s="32">
        <f t="shared" si="1"/>
        <v>45291</v>
      </c>
      <c r="N4" s="32">
        <f t="shared" si="1"/>
        <v>45657</v>
      </c>
      <c r="O4" s="32">
        <f t="shared" si="1"/>
        <v>46022</v>
      </c>
      <c r="P4" s="32">
        <f t="shared" si="1"/>
        <v>46387</v>
      </c>
      <c r="Q4" s="32">
        <f t="shared" si="1"/>
        <v>46752</v>
      </c>
      <c r="R4" s="32">
        <f t="shared" si="1"/>
        <v>47118</v>
      </c>
      <c r="S4" s="32">
        <f t="shared" si="1"/>
        <v>47483</v>
      </c>
      <c r="T4" s="32">
        <f t="shared" si="1"/>
        <v>47848</v>
      </c>
      <c r="U4" s="32">
        <f t="shared" si="1"/>
        <v>48213</v>
      </c>
      <c r="V4" s="32">
        <f t="shared" si="1"/>
        <v>48579</v>
      </c>
      <c r="W4" s="32">
        <f t="shared" si="1"/>
        <v>48944</v>
      </c>
      <c r="X4" s="32">
        <f t="shared" si="1"/>
        <v>49309</v>
      </c>
      <c r="Y4" s="32">
        <f t="shared" si="1"/>
        <v>49674</v>
      </c>
      <c r="Z4" s="32">
        <f t="shared" si="1"/>
        <v>50040</v>
      </c>
      <c r="AA4" s="32">
        <f t="shared" si="1"/>
        <v>50405</v>
      </c>
      <c r="AB4" s="32">
        <f t="shared" si="1"/>
        <v>50770</v>
      </c>
      <c r="AC4" s="32">
        <f t="shared" si="1"/>
        <v>51135</v>
      </c>
      <c r="AD4" s="32">
        <f t="shared" si="1"/>
        <v>51501</v>
      </c>
      <c r="AE4" s="32">
        <f t="shared" si="1"/>
        <v>51866</v>
      </c>
      <c r="AF4" s="32">
        <f t="shared" si="1"/>
        <v>52231</v>
      </c>
      <c r="AG4" s="32">
        <f t="shared" si="1"/>
        <v>52596</v>
      </c>
      <c r="AH4" s="32">
        <f t="shared" si="1"/>
        <v>52962</v>
      </c>
      <c r="AI4" s="32">
        <f t="shared" si="1"/>
        <v>53327</v>
      </c>
      <c r="AJ4" s="32">
        <f t="shared" si="1"/>
        <v>53692</v>
      </c>
      <c r="AK4" s="32">
        <f t="shared" si="1"/>
        <v>54057</v>
      </c>
      <c r="AL4" s="32">
        <f t="shared" si="1"/>
        <v>54423</v>
      </c>
      <c r="AM4" s="32">
        <f t="shared" si="1"/>
        <v>54788</v>
      </c>
      <c r="AN4" s="32">
        <f t="shared" si="1"/>
        <v>55153</v>
      </c>
      <c r="AO4" s="32">
        <f t="shared" si="1"/>
        <v>55518</v>
      </c>
      <c r="AP4" s="32">
        <f t="shared" si="1"/>
        <v>55884</v>
      </c>
      <c r="AQ4" s="32">
        <f t="shared" si="1"/>
        <v>56249</v>
      </c>
      <c r="AR4" s="32">
        <f t="shared" si="1"/>
        <v>56614</v>
      </c>
      <c r="AS4" s="32">
        <f t="shared" si="1"/>
        <v>56979</v>
      </c>
    </row>
    <row r="5" spans="2:1006" s="29" customFormat="1" outlineLevel="1" x14ac:dyDescent="0.35"/>
    <row r="6" spans="2:1006" s="29" customFormat="1" outlineLevel="1" x14ac:dyDescent="0.35">
      <c r="C6" s="29" t="s">
        <v>72</v>
      </c>
      <c r="E6" s="29" t="s">
        <v>73</v>
      </c>
      <c r="F6" s="29" t="s">
        <v>67</v>
      </c>
      <c r="G6" s="29">
        <f>Inputs!F12</f>
        <v>20</v>
      </c>
      <c r="I6" s="29">
        <f>SUM(J6:XFD6)</f>
        <v>20</v>
      </c>
      <c r="J6" s="29">
        <f t="shared" ref="J6:AS6" si="2">AND(J2&gt;0,J2&lt;=$G$6)*1</f>
        <v>0</v>
      </c>
      <c r="K6" s="29">
        <f t="shared" si="2"/>
        <v>1</v>
      </c>
      <c r="L6" s="29">
        <f t="shared" si="2"/>
        <v>1</v>
      </c>
      <c r="M6" s="29">
        <f t="shared" si="2"/>
        <v>1</v>
      </c>
      <c r="N6" s="29">
        <f t="shared" si="2"/>
        <v>1</v>
      </c>
      <c r="O6" s="29">
        <f t="shared" si="2"/>
        <v>1</v>
      </c>
      <c r="P6" s="29">
        <f t="shared" si="2"/>
        <v>1</v>
      </c>
      <c r="Q6" s="29">
        <f t="shared" si="2"/>
        <v>1</v>
      </c>
      <c r="R6" s="29">
        <f t="shared" si="2"/>
        <v>1</v>
      </c>
      <c r="S6" s="29">
        <f t="shared" si="2"/>
        <v>1</v>
      </c>
      <c r="T6" s="29">
        <f t="shared" si="2"/>
        <v>1</v>
      </c>
      <c r="U6" s="29">
        <f t="shared" si="2"/>
        <v>1</v>
      </c>
      <c r="V6" s="29">
        <f t="shared" si="2"/>
        <v>1</v>
      </c>
      <c r="W6" s="29">
        <f t="shared" si="2"/>
        <v>1</v>
      </c>
      <c r="X6" s="29">
        <f t="shared" si="2"/>
        <v>1</v>
      </c>
      <c r="Y6" s="29">
        <f t="shared" si="2"/>
        <v>1</v>
      </c>
      <c r="Z6" s="29">
        <f t="shared" si="2"/>
        <v>1</v>
      </c>
      <c r="AA6" s="29">
        <f t="shared" si="2"/>
        <v>1</v>
      </c>
      <c r="AB6" s="29">
        <f t="shared" si="2"/>
        <v>1</v>
      </c>
      <c r="AC6" s="29">
        <f t="shared" si="2"/>
        <v>1</v>
      </c>
      <c r="AD6" s="29">
        <f t="shared" si="2"/>
        <v>1</v>
      </c>
      <c r="AE6" s="29">
        <f t="shared" si="2"/>
        <v>0</v>
      </c>
      <c r="AF6" s="29">
        <f t="shared" si="2"/>
        <v>0</v>
      </c>
      <c r="AG6" s="29">
        <f t="shared" si="2"/>
        <v>0</v>
      </c>
      <c r="AH6" s="29">
        <f t="shared" si="2"/>
        <v>0</v>
      </c>
      <c r="AI6" s="29">
        <f t="shared" si="2"/>
        <v>0</v>
      </c>
      <c r="AJ6" s="29">
        <f t="shared" si="2"/>
        <v>0</v>
      </c>
      <c r="AK6" s="29">
        <f t="shared" si="2"/>
        <v>0</v>
      </c>
      <c r="AL6" s="29">
        <f t="shared" si="2"/>
        <v>0</v>
      </c>
      <c r="AM6" s="29">
        <f t="shared" si="2"/>
        <v>0</v>
      </c>
      <c r="AN6" s="29">
        <f t="shared" si="2"/>
        <v>0</v>
      </c>
      <c r="AO6" s="29">
        <f t="shared" si="2"/>
        <v>0</v>
      </c>
      <c r="AP6" s="29">
        <f t="shared" si="2"/>
        <v>0</v>
      </c>
      <c r="AQ6" s="29">
        <f t="shared" si="2"/>
        <v>0</v>
      </c>
      <c r="AR6" s="29">
        <f t="shared" si="2"/>
        <v>0</v>
      </c>
      <c r="AS6" s="29">
        <f t="shared" si="2"/>
        <v>0</v>
      </c>
    </row>
    <row r="7" spans="2:1006" s="29" customFormat="1" outlineLevel="1" x14ac:dyDescent="0.35">
      <c r="C7" s="29" t="s">
        <v>74</v>
      </c>
      <c r="E7" s="29" t="s">
        <v>73</v>
      </c>
      <c r="F7" s="29" t="s">
        <v>67</v>
      </c>
      <c r="G7" s="29">
        <f>G6+1</f>
        <v>21</v>
      </c>
      <c r="H7" s="29">
        <f>Inputs!F6</f>
        <v>35</v>
      </c>
      <c r="I7" s="29">
        <f>SUM(J7:XFD7)</f>
        <v>15</v>
      </c>
      <c r="J7" s="29">
        <f t="shared" ref="J7:AS7" si="3">(AND(J2&gt;=$G$7,J2&lt;=$H$7))*1</f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29">
        <f t="shared" si="3"/>
        <v>0</v>
      </c>
      <c r="P7" s="29">
        <f t="shared" si="3"/>
        <v>0</v>
      </c>
      <c r="Q7" s="29">
        <f t="shared" si="3"/>
        <v>0</v>
      </c>
      <c r="R7" s="29">
        <f t="shared" si="3"/>
        <v>0</v>
      </c>
      <c r="S7" s="29">
        <f t="shared" si="3"/>
        <v>0</v>
      </c>
      <c r="T7" s="29">
        <f t="shared" si="3"/>
        <v>0</v>
      </c>
      <c r="U7" s="29">
        <f t="shared" si="3"/>
        <v>0</v>
      </c>
      <c r="V7" s="29">
        <f t="shared" si="3"/>
        <v>0</v>
      </c>
      <c r="W7" s="29">
        <f t="shared" si="3"/>
        <v>0</v>
      </c>
      <c r="X7" s="29">
        <f t="shared" si="3"/>
        <v>0</v>
      </c>
      <c r="Y7" s="29">
        <f t="shared" si="3"/>
        <v>0</v>
      </c>
      <c r="Z7" s="29">
        <f t="shared" si="3"/>
        <v>0</v>
      </c>
      <c r="AA7" s="29">
        <f t="shared" si="3"/>
        <v>0</v>
      </c>
      <c r="AB7" s="29">
        <f t="shared" si="3"/>
        <v>0</v>
      </c>
      <c r="AC7" s="29">
        <f t="shared" si="3"/>
        <v>0</v>
      </c>
      <c r="AD7" s="29">
        <f t="shared" si="3"/>
        <v>0</v>
      </c>
      <c r="AE7" s="29">
        <f t="shared" si="3"/>
        <v>1</v>
      </c>
      <c r="AF7" s="29">
        <f t="shared" si="3"/>
        <v>1</v>
      </c>
      <c r="AG7" s="29">
        <f t="shared" si="3"/>
        <v>1</v>
      </c>
      <c r="AH7" s="29">
        <f t="shared" si="3"/>
        <v>1</v>
      </c>
      <c r="AI7" s="29">
        <f t="shared" si="3"/>
        <v>1</v>
      </c>
      <c r="AJ7" s="29">
        <f t="shared" si="3"/>
        <v>1</v>
      </c>
      <c r="AK7" s="29">
        <f t="shared" si="3"/>
        <v>1</v>
      </c>
      <c r="AL7" s="29">
        <f t="shared" si="3"/>
        <v>1</v>
      </c>
      <c r="AM7" s="29">
        <f t="shared" si="3"/>
        <v>1</v>
      </c>
      <c r="AN7" s="29">
        <f t="shared" si="3"/>
        <v>1</v>
      </c>
      <c r="AO7" s="29">
        <f t="shared" si="3"/>
        <v>1</v>
      </c>
      <c r="AP7" s="29">
        <f t="shared" si="3"/>
        <v>1</v>
      </c>
      <c r="AQ7" s="29">
        <f t="shared" si="3"/>
        <v>1</v>
      </c>
      <c r="AR7" s="29">
        <f t="shared" si="3"/>
        <v>1</v>
      </c>
      <c r="AS7" s="29">
        <f t="shared" si="3"/>
        <v>1</v>
      </c>
    </row>
    <row r="8" spans="2:1006" s="29" customFormat="1" outlineLevel="1" x14ac:dyDescent="0.35">
      <c r="C8" s="29" t="s">
        <v>75</v>
      </c>
      <c r="E8" s="29" t="s">
        <v>73</v>
      </c>
      <c r="F8" s="29" t="s">
        <v>67</v>
      </c>
      <c r="I8" s="29">
        <f>SUM(J8:XFD8)</f>
        <v>35</v>
      </c>
      <c r="J8" s="29">
        <f>(OR(J6,J7))*1</f>
        <v>0</v>
      </c>
      <c r="K8" s="29">
        <f t="shared" ref="K8:AS8" si="4">(OR(K6,K7))*1</f>
        <v>1</v>
      </c>
      <c r="L8" s="29">
        <f t="shared" si="4"/>
        <v>1</v>
      </c>
      <c r="M8" s="29">
        <f t="shared" si="4"/>
        <v>1</v>
      </c>
      <c r="N8" s="29">
        <f t="shared" si="4"/>
        <v>1</v>
      </c>
      <c r="O8" s="29">
        <f t="shared" si="4"/>
        <v>1</v>
      </c>
      <c r="P8" s="29">
        <f t="shared" si="4"/>
        <v>1</v>
      </c>
      <c r="Q8" s="29">
        <f t="shared" si="4"/>
        <v>1</v>
      </c>
      <c r="R8" s="29">
        <f t="shared" si="4"/>
        <v>1</v>
      </c>
      <c r="S8" s="29">
        <f t="shared" si="4"/>
        <v>1</v>
      </c>
      <c r="T8" s="29">
        <f t="shared" si="4"/>
        <v>1</v>
      </c>
      <c r="U8" s="29">
        <f t="shared" si="4"/>
        <v>1</v>
      </c>
      <c r="V8" s="29">
        <f t="shared" si="4"/>
        <v>1</v>
      </c>
      <c r="W8" s="29">
        <f t="shared" si="4"/>
        <v>1</v>
      </c>
      <c r="X8" s="29">
        <f t="shared" si="4"/>
        <v>1</v>
      </c>
      <c r="Y8" s="29">
        <f t="shared" si="4"/>
        <v>1</v>
      </c>
      <c r="Z8" s="29">
        <f t="shared" si="4"/>
        <v>1</v>
      </c>
      <c r="AA8" s="29">
        <f t="shared" si="4"/>
        <v>1</v>
      </c>
      <c r="AB8" s="29">
        <f t="shared" si="4"/>
        <v>1</v>
      </c>
      <c r="AC8" s="29">
        <f t="shared" si="4"/>
        <v>1</v>
      </c>
      <c r="AD8" s="29">
        <f t="shared" si="4"/>
        <v>1</v>
      </c>
      <c r="AE8" s="29">
        <f t="shared" si="4"/>
        <v>1</v>
      </c>
      <c r="AF8" s="29">
        <f t="shared" si="4"/>
        <v>1</v>
      </c>
      <c r="AG8" s="29">
        <f t="shared" si="4"/>
        <v>1</v>
      </c>
      <c r="AH8" s="29">
        <f t="shared" si="4"/>
        <v>1</v>
      </c>
      <c r="AI8" s="29">
        <f t="shared" si="4"/>
        <v>1</v>
      </c>
      <c r="AJ8" s="29">
        <f t="shared" si="4"/>
        <v>1</v>
      </c>
      <c r="AK8" s="29">
        <f t="shared" si="4"/>
        <v>1</v>
      </c>
      <c r="AL8" s="29">
        <f t="shared" si="4"/>
        <v>1</v>
      </c>
      <c r="AM8" s="29">
        <f t="shared" si="4"/>
        <v>1</v>
      </c>
      <c r="AN8" s="29">
        <f t="shared" si="4"/>
        <v>1</v>
      </c>
      <c r="AO8" s="29">
        <f t="shared" si="4"/>
        <v>1</v>
      </c>
      <c r="AP8" s="29">
        <f t="shared" si="4"/>
        <v>1</v>
      </c>
      <c r="AQ8" s="29">
        <f t="shared" si="4"/>
        <v>1</v>
      </c>
      <c r="AR8" s="29">
        <f t="shared" si="4"/>
        <v>1</v>
      </c>
      <c r="AS8" s="29">
        <f t="shared" si="4"/>
        <v>1</v>
      </c>
    </row>
    <row r="9" spans="2:1006" s="29" customFormat="1" outlineLevel="1" x14ac:dyDescent="0.35">
      <c r="C9" s="29" t="s">
        <v>133</v>
      </c>
      <c r="E9" s="29" t="s">
        <v>73</v>
      </c>
      <c r="F9" s="29" t="s">
        <v>67</v>
      </c>
      <c r="G9" s="29">
        <f>Inputs!F37</f>
        <v>7</v>
      </c>
      <c r="J9" s="29">
        <f>(J2&lt;=$G$9)*1</f>
        <v>1</v>
      </c>
      <c r="K9" s="29">
        <f t="shared" ref="K9:AS9" si="5">(K2&lt;=$G$9)*1</f>
        <v>1</v>
      </c>
      <c r="L9" s="29">
        <f t="shared" si="5"/>
        <v>1</v>
      </c>
      <c r="M9" s="29">
        <f t="shared" si="5"/>
        <v>1</v>
      </c>
      <c r="N9" s="29">
        <f t="shared" si="5"/>
        <v>1</v>
      </c>
      <c r="O9" s="29">
        <f t="shared" si="5"/>
        <v>1</v>
      </c>
      <c r="P9" s="29">
        <f t="shared" si="5"/>
        <v>1</v>
      </c>
      <c r="Q9" s="29">
        <f t="shared" si="5"/>
        <v>1</v>
      </c>
      <c r="R9" s="29">
        <f t="shared" si="5"/>
        <v>0</v>
      </c>
      <c r="S9" s="29">
        <f t="shared" si="5"/>
        <v>0</v>
      </c>
      <c r="T9" s="29">
        <f t="shared" si="5"/>
        <v>0</v>
      </c>
      <c r="U9" s="29">
        <f t="shared" si="5"/>
        <v>0</v>
      </c>
      <c r="V9" s="29">
        <f t="shared" si="5"/>
        <v>0</v>
      </c>
      <c r="W9" s="29">
        <f t="shared" si="5"/>
        <v>0</v>
      </c>
      <c r="X9" s="29">
        <f t="shared" si="5"/>
        <v>0</v>
      </c>
      <c r="Y9" s="29">
        <f t="shared" si="5"/>
        <v>0</v>
      </c>
      <c r="Z9" s="29">
        <f t="shared" si="5"/>
        <v>0</v>
      </c>
      <c r="AA9" s="29">
        <f t="shared" si="5"/>
        <v>0</v>
      </c>
      <c r="AB9" s="29">
        <f t="shared" si="5"/>
        <v>0</v>
      </c>
      <c r="AC9" s="29">
        <f t="shared" si="5"/>
        <v>0</v>
      </c>
      <c r="AD9" s="29">
        <f t="shared" si="5"/>
        <v>0</v>
      </c>
      <c r="AE9" s="29">
        <f t="shared" si="5"/>
        <v>0</v>
      </c>
      <c r="AF9" s="29">
        <f t="shared" si="5"/>
        <v>0</v>
      </c>
      <c r="AG9" s="29">
        <f t="shared" si="5"/>
        <v>0</v>
      </c>
      <c r="AH9" s="29">
        <f t="shared" si="5"/>
        <v>0</v>
      </c>
      <c r="AI9" s="29">
        <f t="shared" si="5"/>
        <v>0</v>
      </c>
      <c r="AJ9" s="29">
        <f t="shared" si="5"/>
        <v>0</v>
      </c>
      <c r="AK9" s="29">
        <f t="shared" si="5"/>
        <v>0</v>
      </c>
      <c r="AL9" s="29">
        <f t="shared" si="5"/>
        <v>0</v>
      </c>
      <c r="AM9" s="29">
        <f t="shared" si="5"/>
        <v>0</v>
      </c>
      <c r="AN9" s="29">
        <f t="shared" si="5"/>
        <v>0</v>
      </c>
      <c r="AO9" s="29">
        <f t="shared" si="5"/>
        <v>0</v>
      </c>
      <c r="AP9" s="29">
        <f t="shared" si="5"/>
        <v>0</v>
      </c>
      <c r="AQ9" s="29">
        <f t="shared" si="5"/>
        <v>0</v>
      </c>
      <c r="AR9" s="29">
        <f t="shared" si="5"/>
        <v>0</v>
      </c>
      <c r="AS9" s="29">
        <f t="shared" si="5"/>
        <v>0</v>
      </c>
    </row>
    <row r="10" spans="2:1006" outlineLevel="1" x14ac:dyDescent="0.35"/>
    <row r="11" spans="2:1006" x14ac:dyDescent="0.35">
      <c r="B11" s="28" t="s">
        <v>107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</row>
    <row r="12" spans="2:1006" outlineLevel="1" x14ac:dyDescent="0.35">
      <c r="C12" s="33" t="s">
        <v>104</v>
      </c>
      <c r="E12" s="33" t="s">
        <v>90</v>
      </c>
      <c r="J12" s="24">
        <f>Taxes!J12</f>
        <v>0</v>
      </c>
      <c r="K12" s="24">
        <f>Taxes!K12</f>
        <v>5023375</v>
      </c>
      <c r="L12" s="24">
        <f>Taxes!L12</f>
        <v>4971483.125</v>
      </c>
      <c r="M12" s="24">
        <f>Taxes!M12</f>
        <v>4919315.2093749996</v>
      </c>
      <c r="N12" s="24">
        <f>Taxes!N12</f>
        <v>4866861.9233281258</v>
      </c>
      <c r="O12" s="24">
        <f>Taxes!O12</f>
        <v>4814113.7695114845</v>
      </c>
      <c r="P12" s="24">
        <f>Taxes!P12</f>
        <v>4761061.079579927</v>
      </c>
      <c r="Q12" s="24">
        <f>Taxes!Q12</f>
        <v>4707694.0106763486</v>
      </c>
      <c r="R12" s="24">
        <f>Taxes!R12</f>
        <v>4654002.5418471722</v>
      </c>
      <c r="S12" s="24">
        <f>Taxes!S12</f>
        <v>4599976.4703866262</v>
      </c>
      <c r="T12" s="24">
        <f>Taxes!T12</f>
        <v>4545605.4081083573</v>
      </c>
      <c r="U12" s="24">
        <f>Taxes!U12</f>
        <v>4490878.7775429534</v>
      </c>
      <c r="V12" s="24">
        <f>Taxes!V12</f>
        <v>4435785.8080598786</v>
      </c>
      <c r="W12" s="24">
        <f>Taxes!W12</f>
        <v>4380315.5319123119</v>
      </c>
      <c r="X12" s="24">
        <f>Taxes!X12</f>
        <v>4324456.7802033387</v>
      </c>
      <c r="Y12" s="24">
        <f>Taxes!Y12</f>
        <v>4268198.1787719224</v>
      </c>
      <c r="Z12" s="24">
        <f>Taxes!Z12</f>
        <v>4211528.1439970536</v>
      </c>
      <c r="AA12" s="24">
        <f>Taxes!AA12</f>
        <v>4154434.8785184389</v>
      </c>
      <c r="AB12" s="24">
        <f>Taxes!AB12</f>
        <v>4096906.3668720461</v>
      </c>
      <c r="AC12" s="24">
        <f>Taxes!AC12</f>
        <v>4038930.3710388094</v>
      </c>
      <c r="AD12" s="24">
        <f>Taxes!AD12</f>
        <v>3980494.4259047606</v>
      </c>
      <c r="AE12" s="24">
        <f>Taxes!AE12</f>
        <v>5496738.8334089816</v>
      </c>
      <c r="AF12" s="24">
        <f>Taxes!AF12</f>
        <v>5429468.8977146167</v>
      </c>
      <c r="AG12" s="24">
        <f>Taxes!AG12</f>
        <v>5361739.5868681762</v>
      </c>
      <c r="AH12" s="24">
        <f>Taxes!AH12</f>
        <v>5293537.283248811</v>
      </c>
      <c r="AI12" s="24">
        <f>Taxes!AI12</f>
        <v>5224848.1190338433</v>
      </c>
      <c r="AJ12" s="24">
        <f>Taxes!AJ12</f>
        <v>5155657.9710839754</v>
      </c>
      <c r="AK12" s="24">
        <f>Taxes!AK12</f>
        <v>5085952.4557267623</v>
      </c>
      <c r="AL12" s="24">
        <f>Taxes!AL12</f>
        <v>5015716.9234362999</v>
      </c>
      <c r="AM12" s="24">
        <f>Taxes!AM12</f>
        <v>4944936.453407052</v>
      </c>
      <c r="AN12" s="24">
        <f>Taxes!AN12</f>
        <v>4873595.8480197098</v>
      </c>
      <c r="AO12" s="24">
        <f>Taxes!AO12</f>
        <v>4801679.6271968987</v>
      </c>
      <c r="AP12" s="24">
        <f>Taxes!AP12</f>
        <v>4729172.0226465464</v>
      </c>
      <c r="AQ12" s="24">
        <f>Taxes!AQ12</f>
        <v>4656056.9719906589</v>
      </c>
      <c r="AR12" s="24">
        <f>Taxes!AR12</f>
        <v>4582318.1127771977</v>
      </c>
      <c r="AS12" s="24">
        <f>Taxes!AS12</f>
        <v>4507938.7763727345</v>
      </c>
    </row>
    <row r="13" spans="2:1006" outlineLevel="1" x14ac:dyDescent="0.35">
      <c r="C13" s="33" t="s">
        <v>87</v>
      </c>
      <c r="E13" s="33" t="s">
        <v>90</v>
      </c>
      <c r="J13" s="24">
        <f>Taxes!J11</f>
        <v>100000000</v>
      </c>
      <c r="K13" s="24">
        <f>Taxes!K11</f>
        <v>0</v>
      </c>
      <c r="L13" s="24">
        <f>Taxes!L11</f>
        <v>0</v>
      </c>
      <c r="M13" s="24">
        <f>Taxes!M11</f>
        <v>0</v>
      </c>
      <c r="N13" s="24">
        <f>Taxes!N11</f>
        <v>0</v>
      </c>
      <c r="O13" s="24">
        <f>Taxes!O11</f>
        <v>0</v>
      </c>
      <c r="P13" s="24">
        <f>Taxes!P11</f>
        <v>0</v>
      </c>
      <c r="Q13" s="24">
        <f>Taxes!Q11</f>
        <v>0</v>
      </c>
      <c r="R13" s="24">
        <f>Taxes!R11</f>
        <v>0</v>
      </c>
      <c r="S13" s="24">
        <f>Taxes!S11</f>
        <v>0</v>
      </c>
      <c r="T13" s="24">
        <f>Taxes!T11</f>
        <v>0</v>
      </c>
      <c r="U13" s="24">
        <f>Taxes!U11</f>
        <v>0</v>
      </c>
      <c r="V13" s="24">
        <f>Taxes!V11</f>
        <v>0</v>
      </c>
      <c r="W13" s="24">
        <f>Taxes!W11</f>
        <v>0</v>
      </c>
      <c r="X13" s="24">
        <f>Taxes!X11</f>
        <v>0</v>
      </c>
      <c r="Y13" s="24">
        <f>Taxes!Y11</f>
        <v>0</v>
      </c>
      <c r="Z13" s="24">
        <f>Taxes!Z11</f>
        <v>0</v>
      </c>
      <c r="AA13" s="24">
        <f>Taxes!AA11</f>
        <v>0</v>
      </c>
      <c r="AB13" s="24">
        <f>Taxes!AB11</f>
        <v>0</v>
      </c>
      <c r="AC13" s="24">
        <f>Taxes!AC11</f>
        <v>0</v>
      </c>
      <c r="AD13" s="24">
        <f>Taxes!AD11</f>
        <v>0</v>
      </c>
      <c r="AE13" s="24">
        <f>Taxes!AE11</f>
        <v>0</v>
      </c>
      <c r="AF13" s="24">
        <f>Taxes!AF11</f>
        <v>0</v>
      </c>
      <c r="AG13" s="24">
        <f>Taxes!AG11</f>
        <v>0</v>
      </c>
      <c r="AH13" s="24">
        <f>Taxes!AH11</f>
        <v>0</v>
      </c>
      <c r="AI13" s="24">
        <f>Taxes!AI11</f>
        <v>0</v>
      </c>
      <c r="AJ13" s="24">
        <f>Taxes!AJ11</f>
        <v>0</v>
      </c>
      <c r="AK13" s="24">
        <f>Taxes!AK11</f>
        <v>0</v>
      </c>
      <c r="AL13" s="24">
        <f>Taxes!AL11</f>
        <v>0</v>
      </c>
      <c r="AM13" s="24">
        <f>Taxes!AM11</f>
        <v>0</v>
      </c>
      <c r="AN13" s="24">
        <f>Taxes!AN11</f>
        <v>0</v>
      </c>
      <c r="AO13" s="24">
        <f>Taxes!AO11</f>
        <v>0</v>
      </c>
      <c r="AP13" s="24">
        <f>Taxes!AP11</f>
        <v>0</v>
      </c>
      <c r="AQ13" s="24">
        <f>Taxes!AQ11</f>
        <v>0</v>
      </c>
      <c r="AR13" s="24">
        <f>Taxes!AR11</f>
        <v>0</v>
      </c>
      <c r="AS13" s="24">
        <f>Taxes!AS11</f>
        <v>0</v>
      </c>
    </row>
    <row r="14" spans="2:1006" outlineLevel="1" x14ac:dyDescent="0.35">
      <c r="C14" s="33" t="s">
        <v>134</v>
      </c>
      <c r="E14" s="33" t="s">
        <v>90</v>
      </c>
      <c r="J14" s="24">
        <f>Taxes!J16</f>
        <v>28500000</v>
      </c>
      <c r="K14" s="24">
        <f>Taxes!K16</f>
        <v>0</v>
      </c>
      <c r="L14" s="24">
        <f>Taxes!L16</f>
        <v>0</v>
      </c>
      <c r="M14" s="24">
        <f>Taxes!M16</f>
        <v>0</v>
      </c>
      <c r="N14" s="24">
        <f>Taxes!N16</f>
        <v>0</v>
      </c>
      <c r="O14" s="24">
        <f>Taxes!O16</f>
        <v>0</v>
      </c>
      <c r="P14" s="24">
        <f>Taxes!P16</f>
        <v>0</v>
      </c>
      <c r="Q14" s="24">
        <f>Taxes!Q16</f>
        <v>0</v>
      </c>
      <c r="R14" s="24">
        <f>Taxes!R16</f>
        <v>0</v>
      </c>
      <c r="S14" s="24">
        <f>Taxes!S16</f>
        <v>0</v>
      </c>
      <c r="T14" s="24">
        <f>Taxes!T16</f>
        <v>0</v>
      </c>
      <c r="U14" s="24">
        <f>Taxes!U16</f>
        <v>0</v>
      </c>
      <c r="V14" s="24">
        <f>Taxes!V16</f>
        <v>0</v>
      </c>
      <c r="W14" s="24">
        <f>Taxes!W16</f>
        <v>0</v>
      </c>
      <c r="X14" s="24">
        <f>Taxes!X16</f>
        <v>0</v>
      </c>
      <c r="Y14" s="24">
        <f>Taxes!Y16</f>
        <v>0</v>
      </c>
      <c r="Z14" s="24">
        <f>Taxes!Z16</f>
        <v>0</v>
      </c>
      <c r="AA14" s="24">
        <f>Taxes!AA16</f>
        <v>0</v>
      </c>
      <c r="AB14" s="24">
        <f>Taxes!AB16</f>
        <v>0</v>
      </c>
      <c r="AC14" s="24">
        <f>Taxes!AC16</f>
        <v>0</v>
      </c>
      <c r="AD14" s="24">
        <f>Taxes!AD16</f>
        <v>0</v>
      </c>
      <c r="AE14" s="24">
        <f>Taxes!AE16</f>
        <v>0</v>
      </c>
      <c r="AF14" s="24">
        <f>Taxes!AF16</f>
        <v>0</v>
      </c>
      <c r="AG14" s="24">
        <f>Taxes!AG16</f>
        <v>0</v>
      </c>
      <c r="AH14" s="24">
        <f>Taxes!AH16</f>
        <v>0</v>
      </c>
      <c r="AI14" s="24">
        <f>Taxes!AI16</f>
        <v>0</v>
      </c>
      <c r="AJ14" s="24">
        <f>Taxes!AJ16</f>
        <v>0</v>
      </c>
      <c r="AK14" s="24">
        <f>Taxes!AK16</f>
        <v>0</v>
      </c>
      <c r="AL14" s="24">
        <f>Taxes!AL16</f>
        <v>0</v>
      </c>
      <c r="AM14" s="24">
        <f>Taxes!AM16</f>
        <v>0</v>
      </c>
      <c r="AN14" s="24">
        <f>Taxes!AN16</f>
        <v>0</v>
      </c>
      <c r="AO14" s="24">
        <f>Taxes!AO16</f>
        <v>0</v>
      </c>
      <c r="AP14" s="24">
        <f>Taxes!AP16</f>
        <v>0</v>
      </c>
      <c r="AQ14" s="24">
        <f>Taxes!AQ16</f>
        <v>0</v>
      </c>
      <c r="AR14" s="24">
        <f>Taxes!AR16</f>
        <v>0</v>
      </c>
      <c r="AS14" s="24">
        <f>Taxes!AS16</f>
        <v>0</v>
      </c>
    </row>
    <row r="15" spans="2:1006" outlineLevel="1" x14ac:dyDescent="0.35">
      <c r="C15" s="33" t="s">
        <v>135</v>
      </c>
      <c r="E15" s="33" t="s">
        <v>90</v>
      </c>
      <c r="J15" s="24">
        <f>Taxes!J33</f>
        <v>0</v>
      </c>
      <c r="K15" s="24">
        <f>Taxes!K33</f>
        <v>32633333.333333332</v>
      </c>
      <c r="L15" s="24">
        <f>Taxes!L33</f>
        <v>19713333.333333332</v>
      </c>
      <c r="M15" s="24">
        <f>Taxes!M33</f>
        <v>11961333.333333334</v>
      </c>
      <c r="N15" s="24">
        <f>Taxes!N33</f>
        <v>9054333.333333334</v>
      </c>
      <c r="O15" s="24">
        <f>Taxes!O33</f>
        <v>9054333.333333334</v>
      </c>
      <c r="P15" s="24">
        <f>Taxes!P33</f>
        <v>333333.33333333331</v>
      </c>
      <c r="Q15" s="24">
        <f>Taxes!Q33</f>
        <v>333333.33333333331</v>
      </c>
      <c r="R15" s="24">
        <f>Taxes!R33</f>
        <v>333333.33333333331</v>
      </c>
      <c r="S15" s="24">
        <f>Taxes!S33</f>
        <v>333333.33333333331</v>
      </c>
      <c r="T15" s="24">
        <f>Taxes!T33</f>
        <v>333333.33333333331</v>
      </c>
      <c r="U15" s="24">
        <f>Taxes!U33</f>
        <v>333333.33333333331</v>
      </c>
      <c r="V15" s="24">
        <f>Taxes!V33</f>
        <v>333333.33333333331</v>
      </c>
      <c r="W15" s="24">
        <f>Taxes!W33</f>
        <v>333333.33333333331</v>
      </c>
      <c r="X15" s="24">
        <f>Taxes!X33</f>
        <v>333333.33333333331</v>
      </c>
      <c r="Y15" s="24">
        <f>Taxes!Y33</f>
        <v>333333.33333333331</v>
      </c>
      <c r="Z15" s="24">
        <f>Taxes!Z33</f>
        <v>0</v>
      </c>
      <c r="AA15" s="24">
        <f>Taxes!AA33</f>
        <v>0</v>
      </c>
      <c r="AB15" s="24">
        <f>Taxes!AB33</f>
        <v>0</v>
      </c>
      <c r="AC15" s="24">
        <f>Taxes!AC33</f>
        <v>0</v>
      </c>
      <c r="AD15" s="24">
        <f>Taxes!AD33</f>
        <v>0</v>
      </c>
      <c r="AE15" s="24">
        <f>Taxes!AE33</f>
        <v>0</v>
      </c>
      <c r="AF15" s="24">
        <f>Taxes!AF33</f>
        <v>0</v>
      </c>
      <c r="AG15" s="24">
        <f>Taxes!AG33</f>
        <v>0</v>
      </c>
      <c r="AH15" s="24">
        <f>Taxes!AH33</f>
        <v>0</v>
      </c>
      <c r="AI15" s="24">
        <f>Taxes!AI33</f>
        <v>0</v>
      </c>
      <c r="AJ15" s="24">
        <f>Taxes!AJ33</f>
        <v>0</v>
      </c>
      <c r="AK15" s="24">
        <f>Taxes!AK33</f>
        <v>0</v>
      </c>
      <c r="AL15" s="24">
        <f>Taxes!AL33</f>
        <v>0</v>
      </c>
      <c r="AM15" s="24">
        <f>Taxes!AM33</f>
        <v>0</v>
      </c>
      <c r="AN15" s="24">
        <f>Taxes!AN33</f>
        <v>0</v>
      </c>
      <c r="AO15" s="24">
        <f>Taxes!AO33</f>
        <v>0</v>
      </c>
      <c r="AP15" s="24">
        <f>Taxes!AP33</f>
        <v>0</v>
      </c>
      <c r="AQ15" s="24">
        <f>Taxes!AQ33</f>
        <v>0</v>
      </c>
      <c r="AR15" s="24">
        <f>Taxes!AR33</f>
        <v>0</v>
      </c>
      <c r="AS15" s="24">
        <f>Taxes!AS33</f>
        <v>0</v>
      </c>
    </row>
    <row r="16" spans="2:1006" outlineLevel="1" x14ac:dyDescent="0.35"/>
    <row r="17" spans="2:1006" x14ac:dyDescent="0.35">
      <c r="B17" s="28" t="s">
        <v>136</v>
      </c>
      <c r="C17" s="28"/>
      <c r="D17" s="28"/>
      <c r="E17" s="28"/>
      <c r="F17" s="28"/>
      <c r="G17" s="28" t="s">
        <v>137</v>
      </c>
      <c r="H17" s="28" t="s">
        <v>138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</row>
    <row r="18" spans="2:1006" outlineLevel="1" x14ac:dyDescent="0.35">
      <c r="C18" s="33" t="s">
        <v>139</v>
      </c>
      <c r="E18" s="33" t="s">
        <v>60</v>
      </c>
      <c r="G18" s="27">
        <f>Inputs!F38</f>
        <v>0.99</v>
      </c>
      <c r="H18" s="27">
        <f>Inputs!F39</f>
        <v>0.01</v>
      </c>
      <c r="J18" s="38">
        <f>IF(J$9,$G18,$H18)</f>
        <v>0.99</v>
      </c>
      <c r="K18" s="38">
        <f t="shared" ref="K18:AS19" si="6">IF(K$9,$G18,$H18)</f>
        <v>0.99</v>
      </c>
      <c r="L18" s="38">
        <f t="shared" si="6"/>
        <v>0.99</v>
      </c>
      <c r="M18" s="38">
        <f t="shared" si="6"/>
        <v>0.99</v>
      </c>
      <c r="N18" s="38">
        <f t="shared" si="6"/>
        <v>0.99</v>
      </c>
      <c r="O18" s="38">
        <f t="shared" si="6"/>
        <v>0.99</v>
      </c>
      <c r="P18" s="38">
        <f t="shared" si="6"/>
        <v>0.99</v>
      </c>
      <c r="Q18" s="38">
        <f t="shared" si="6"/>
        <v>0.99</v>
      </c>
      <c r="R18" s="38">
        <f t="shared" si="6"/>
        <v>0.01</v>
      </c>
      <c r="S18" s="38">
        <f t="shared" si="6"/>
        <v>0.01</v>
      </c>
      <c r="T18" s="38">
        <f t="shared" si="6"/>
        <v>0.01</v>
      </c>
      <c r="U18" s="38">
        <f t="shared" si="6"/>
        <v>0.01</v>
      </c>
      <c r="V18" s="38">
        <f t="shared" si="6"/>
        <v>0.01</v>
      </c>
      <c r="W18" s="38">
        <f t="shared" si="6"/>
        <v>0.01</v>
      </c>
      <c r="X18" s="38">
        <f t="shared" si="6"/>
        <v>0.01</v>
      </c>
      <c r="Y18" s="38">
        <f t="shared" si="6"/>
        <v>0.01</v>
      </c>
      <c r="Z18" s="38">
        <f t="shared" si="6"/>
        <v>0.01</v>
      </c>
      <c r="AA18" s="38">
        <f t="shared" si="6"/>
        <v>0.01</v>
      </c>
      <c r="AB18" s="38">
        <f t="shared" si="6"/>
        <v>0.01</v>
      </c>
      <c r="AC18" s="38">
        <f t="shared" si="6"/>
        <v>0.01</v>
      </c>
      <c r="AD18" s="38">
        <f t="shared" si="6"/>
        <v>0.01</v>
      </c>
      <c r="AE18" s="38">
        <f t="shared" si="6"/>
        <v>0.01</v>
      </c>
      <c r="AF18" s="38">
        <f t="shared" si="6"/>
        <v>0.01</v>
      </c>
      <c r="AG18" s="38">
        <f t="shared" si="6"/>
        <v>0.01</v>
      </c>
      <c r="AH18" s="38">
        <f t="shared" si="6"/>
        <v>0.01</v>
      </c>
      <c r="AI18" s="38">
        <f t="shared" si="6"/>
        <v>0.01</v>
      </c>
      <c r="AJ18" s="38">
        <f t="shared" si="6"/>
        <v>0.01</v>
      </c>
      <c r="AK18" s="38">
        <f t="shared" si="6"/>
        <v>0.01</v>
      </c>
      <c r="AL18" s="38">
        <f t="shared" si="6"/>
        <v>0.01</v>
      </c>
      <c r="AM18" s="38">
        <f t="shared" si="6"/>
        <v>0.01</v>
      </c>
      <c r="AN18" s="38">
        <f t="shared" si="6"/>
        <v>0.01</v>
      </c>
      <c r="AO18" s="38">
        <f t="shared" si="6"/>
        <v>0.01</v>
      </c>
      <c r="AP18" s="38">
        <f t="shared" si="6"/>
        <v>0.01</v>
      </c>
      <c r="AQ18" s="38">
        <f t="shared" si="6"/>
        <v>0.01</v>
      </c>
      <c r="AR18" s="38">
        <f t="shared" si="6"/>
        <v>0.01</v>
      </c>
      <c r="AS18" s="38">
        <f t="shared" si="6"/>
        <v>0.01</v>
      </c>
    </row>
    <row r="19" spans="2:1006" outlineLevel="1" x14ac:dyDescent="0.35">
      <c r="C19" s="33" t="s">
        <v>140</v>
      </c>
      <c r="E19" s="33" t="s">
        <v>60</v>
      </c>
      <c r="G19" s="35">
        <f>1-G18</f>
        <v>1.0000000000000009E-2</v>
      </c>
      <c r="H19" s="35">
        <f>1-H18</f>
        <v>0.99</v>
      </c>
      <c r="J19" s="38">
        <f>IF(J$9,$G19,$H19)</f>
        <v>1.0000000000000009E-2</v>
      </c>
      <c r="K19" s="38">
        <f t="shared" si="6"/>
        <v>1.0000000000000009E-2</v>
      </c>
      <c r="L19" s="38">
        <f t="shared" si="6"/>
        <v>1.0000000000000009E-2</v>
      </c>
      <c r="M19" s="38">
        <f t="shared" si="6"/>
        <v>1.0000000000000009E-2</v>
      </c>
      <c r="N19" s="38">
        <f t="shared" si="6"/>
        <v>1.0000000000000009E-2</v>
      </c>
      <c r="O19" s="38">
        <f t="shared" si="6"/>
        <v>1.0000000000000009E-2</v>
      </c>
      <c r="P19" s="38">
        <f t="shared" si="6"/>
        <v>1.0000000000000009E-2</v>
      </c>
      <c r="Q19" s="38">
        <f t="shared" si="6"/>
        <v>1.0000000000000009E-2</v>
      </c>
      <c r="R19" s="38">
        <f t="shared" si="6"/>
        <v>0.99</v>
      </c>
      <c r="S19" s="38">
        <f t="shared" si="6"/>
        <v>0.99</v>
      </c>
      <c r="T19" s="38">
        <f t="shared" si="6"/>
        <v>0.99</v>
      </c>
      <c r="U19" s="38">
        <f t="shared" si="6"/>
        <v>0.99</v>
      </c>
      <c r="V19" s="38">
        <f t="shared" si="6"/>
        <v>0.99</v>
      </c>
      <c r="W19" s="38">
        <f t="shared" si="6"/>
        <v>0.99</v>
      </c>
      <c r="X19" s="38">
        <f t="shared" si="6"/>
        <v>0.99</v>
      </c>
      <c r="Y19" s="38">
        <f t="shared" si="6"/>
        <v>0.99</v>
      </c>
      <c r="Z19" s="38">
        <f t="shared" si="6"/>
        <v>0.99</v>
      </c>
      <c r="AA19" s="38">
        <f t="shared" si="6"/>
        <v>0.99</v>
      </c>
      <c r="AB19" s="38">
        <f t="shared" si="6"/>
        <v>0.99</v>
      </c>
      <c r="AC19" s="38">
        <f t="shared" si="6"/>
        <v>0.99</v>
      </c>
      <c r="AD19" s="38">
        <f t="shared" si="6"/>
        <v>0.99</v>
      </c>
      <c r="AE19" s="38">
        <f t="shared" si="6"/>
        <v>0.99</v>
      </c>
      <c r="AF19" s="38">
        <f t="shared" si="6"/>
        <v>0.99</v>
      </c>
      <c r="AG19" s="38">
        <f t="shared" si="6"/>
        <v>0.99</v>
      </c>
      <c r="AH19" s="38">
        <f t="shared" si="6"/>
        <v>0.99</v>
      </c>
      <c r="AI19" s="38">
        <f t="shared" si="6"/>
        <v>0.99</v>
      </c>
      <c r="AJ19" s="38">
        <f t="shared" si="6"/>
        <v>0.99</v>
      </c>
      <c r="AK19" s="38">
        <f t="shared" si="6"/>
        <v>0.99</v>
      </c>
      <c r="AL19" s="38">
        <f t="shared" si="6"/>
        <v>0.99</v>
      </c>
      <c r="AM19" s="38">
        <f t="shared" si="6"/>
        <v>0.99</v>
      </c>
      <c r="AN19" s="38">
        <f t="shared" si="6"/>
        <v>0.99</v>
      </c>
      <c r="AO19" s="38">
        <f t="shared" si="6"/>
        <v>0.99</v>
      </c>
      <c r="AP19" s="38">
        <f t="shared" si="6"/>
        <v>0.99</v>
      </c>
      <c r="AQ19" s="38">
        <f t="shared" si="6"/>
        <v>0.99</v>
      </c>
      <c r="AR19" s="38">
        <f t="shared" si="6"/>
        <v>0.99</v>
      </c>
      <c r="AS19" s="38">
        <f t="shared" si="6"/>
        <v>0.99</v>
      </c>
    </row>
    <row r="20" spans="2:1006" outlineLevel="1" x14ac:dyDescent="0.35"/>
    <row r="21" spans="2:1006" outlineLevel="1" x14ac:dyDescent="0.35">
      <c r="C21" s="33" t="s">
        <v>141</v>
      </c>
      <c r="E21" s="33" t="s">
        <v>60</v>
      </c>
      <c r="G21" s="27">
        <f>Inputs!F40</f>
        <v>0.2</v>
      </c>
      <c r="H21" s="27">
        <f>Inputs!F41</f>
        <v>0.05</v>
      </c>
      <c r="J21" s="38">
        <f>IF(J$9,$G21,$H21)</f>
        <v>0.2</v>
      </c>
      <c r="K21" s="38">
        <f t="shared" ref="K21:AS22" si="7">IF(K$9,$G21,$H21)</f>
        <v>0.2</v>
      </c>
      <c r="L21" s="38">
        <f t="shared" si="7"/>
        <v>0.2</v>
      </c>
      <c r="M21" s="38">
        <f t="shared" si="7"/>
        <v>0.2</v>
      </c>
      <c r="N21" s="38">
        <f t="shared" si="7"/>
        <v>0.2</v>
      </c>
      <c r="O21" s="38">
        <f t="shared" si="7"/>
        <v>0.2</v>
      </c>
      <c r="P21" s="38">
        <f t="shared" si="7"/>
        <v>0.2</v>
      </c>
      <c r="Q21" s="38">
        <f t="shared" si="7"/>
        <v>0.2</v>
      </c>
      <c r="R21" s="38">
        <f t="shared" si="7"/>
        <v>0.05</v>
      </c>
      <c r="S21" s="38">
        <f t="shared" si="7"/>
        <v>0.05</v>
      </c>
      <c r="T21" s="38">
        <f t="shared" si="7"/>
        <v>0.05</v>
      </c>
      <c r="U21" s="38">
        <f t="shared" si="7"/>
        <v>0.05</v>
      </c>
      <c r="V21" s="38">
        <f t="shared" si="7"/>
        <v>0.05</v>
      </c>
      <c r="W21" s="38">
        <f t="shared" si="7"/>
        <v>0.05</v>
      </c>
      <c r="X21" s="38">
        <f t="shared" si="7"/>
        <v>0.05</v>
      </c>
      <c r="Y21" s="38">
        <f t="shared" si="7"/>
        <v>0.05</v>
      </c>
      <c r="Z21" s="38">
        <f t="shared" si="7"/>
        <v>0.05</v>
      </c>
      <c r="AA21" s="38">
        <f t="shared" si="7"/>
        <v>0.05</v>
      </c>
      <c r="AB21" s="38">
        <f t="shared" si="7"/>
        <v>0.05</v>
      </c>
      <c r="AC21" s="38">
        <f t="shared" si="7"/>
        <v>0.05</v>
      </c>
      <c r="AD21" s="38">
        <f t="shared" si="7"/>
        <v>0.05</v>
      </c>
      <c r="AE21" s="38">
        <f t="shared" si="7"/>
        <v>0.05</v>
      </c>
      <c r="AF21" s="38">
        <f t="shared" si="7"/>
        <v>0.05</v>
      </c>
      <c r="AG21" s="38">
        <f t="shared" si="7"/>
        <v>0.05</v>
      </c>
      <c r="AH21" s="38">
        <f t="shared" si="7"/>
        <v>0.05</v>
      </c>
      <c r="AI21" s="38">
        <f t="shared" si="7"/>
        <v>0.05</v>
      </c>
      <c r="AJ21" s="38">
        <f t="shared" si="7"/>
        <v>0.05</v>
      </c>
      <c r="AK21" s="38">
        <f t="shared" si="7"/>
        <v>0.05</v>
      </c>
      <c r="AL21" s="38">
        <f t="shared" si="7"/>
        <v>0.05</v>
      </c>
      <c r="AM21" s="38">
        <f t="shared" si="7"/>
        <v>0.05</v>
      </c>
      <c r="AN21" s="38">
        <f t="shared" si="7"/>
        <v>0.05</v>
      </c>
      <c r="AO21" s="38">
        <f t="shared" si="7"/>
        <v>0.05</v>
      </c>
      <c r="AP21" s="38">
        <f t="shared" si="7"/>
        <v>0.05</v>
      </c>
      <c r="AQ21" s="38">
        <f t="shared" si="7"/>
        <v>0.05</v>
      </c>
      <c r="AR21" s="38">
        <f t="shared" si="7"/>
        <v>0.05</v>
      </c>
      <c r="AS21" s="38">
        <f t="shared" si="7"/>
        <v>0.05</v>
      </c>
    </row>
    <row r="22" spans="2:1006" outlineLevel="1" x14ac:dyDescent="0.35">
      <c r="C22" s="33" t="s">
        <v>142</v>
      </c>
      <c r="E22" s="33" t="s">
        <v>60</v>
      </c>
      <c r="G22" s="35">
        <f>1-G21</f>
        <v>0.8</v>
      </c>
      <c r="H22" s="35">
        <f>1-H21</f>
        <v>0.95</v>
      </c>
      <c r="J22" s="38">
        <f>IF(J$9,$G22,$H22)</f>
        <v>0.8</v>
      </c>
      <c r="K22" s="38">
        <f t="shared" si="7"/>
        <v>0.8</v>
      </c>
      <c r="L22" s="38">
        <f t="shared" si="7"/>
        <v>0.8</v>
      </c>
      <c r="M22" s="38">
        <f t="shared" si="7"/>
        <v>0.8</v>
      </c>
      <c r="N22" s="38">
        <f t="shared" si="7"/>
        <v>0.8</v>
      </c>
      <c r="O22" s="38">
        <f t="shared" si="7"/>
        <v>0.8</v>
      </c>
      <c r="P22" s="38">
        <f t="shared" si="7"/>
        <v>0.8</v>
      </c>
      <c r="Q22" s="38">
        <f t="shared" si="7"/>
        <v>0.8</v>
      </c>
      <c r="R22" s="38">
        <f t="shared" si="7"/>
        <v>0.95</v>
      </c>
      <c r="S22" s="38">
        <f t="shared" si="7"/>
        <v>0.95</v>
      </c>
      <c r="T22" s="38">
        <f t="shared" si="7"/>
        <v>0.95</v>
      </c>
      <c r="U22" s="38">
        <f t="shared" si="7"/>
        <v>0.95</v>
      </c>
      <c r="V22" s="38">
        <f t="shared" si="7"/>
        <v>0.95</v>
      </c>
      <c r="W22" s="38">
        <f t="shared" si="7"/>
        <v>0.95</v>
      </c>
      <c r="X22" s="38">
        <f t="shared" si="7"/>
        <v>0.95</v>
      </c>
      <c r="Y22" s="38">
        <f t="shared" si="7"/>
        <v>0.95</v>
      </c>
      <c r="Z22" s="38">
        <f t="shared" si="7"/>
        <v>0.95</v>
      </c>
      <c r="AA22" s="38">
        <f t="shared" si="7"/>
        <v>0.95</v>
      </c>
      <c r="AB22" s="38">
        <f t="shared" si="7"/>
        <v>0.95</v>
      </c>
      <c r="AC22" s="38">
        <f t="shared" si="7"/>
        <v>0.95</v>
      </c>
      <c r="AD22" s="38">
        <f t="shared" si="7"/>
        <v>0.95</v>
      </c>
      <c r="AE22" s="38">
        <f t="shared" si="7"/>
        <v>0.95</v>
      </c>
      <c r="AF22" s="38">
        <f t="shared" si="7"/>
        <v>0.95</v>
      </c>
      <c r="AG22" s="38">
        <f t="shared" si="7"/>
        <v>0.95</v>
      </c>
      <c r="AH22" s="38">
        <f t="shared" si="7"/>
        <v>0.95</v>
      </c>
      <c r="AI22" s="38">
        <f t="shared" si="7"/>
        <v>0.95</v>
      </c>
      <c r="AJ22" s="38">
        <f t="shared" si="7"/>
        <v>0.95</v>
      </c>
      <c r="AK22" s="38">
        <f t="shared" si="7"/>
        <v>0.95</v>
      </c>
      <c r="AL22" s="38">
        <f t="shared" si="7"/>
        <v>0.95</v>
      </c>
      <c r="AM22" s="38">
        <f t="shared" si="7"/>
        <v>0.95</v>
      </c>
      <c r="AN22" s="38">
        <f t="shared" si="7"/>
        <v>0.95</v>
      </c>
      <c r="AO22" s="38">
        <f t="shared" si="7"/>
        <v>0.95</v>
      </c>
      <c r="AP22" s="38">
        <f t="shared" si="7"/>
        <v>0.95</v>
      </c>
      <c r="AQ22" s="38">
        <f t="shared" si="7"/>
        <v>0.95</v>
      </c>
      <c r="AR22" s="38">
        <f t="shared" si="7"/>
        <v>0.95</v>
      </c>
      <c r="AS22" s="38">
        <f t="shared" si="7"/>
        <v>0.95</v>
      </c>
    </row>
    <row r="23" spans="2:1006" outlineLevel="1" x14ac:dyDescent="0.35"/>
    <row r="24" spans="2:1006" outlineLevel="1" x14ac:dyDescent="0.35">
      <c r="C24" s="33" t="s">
        <v>143</v>
      </c>
      <c r="E24" s="33" t="s">
        <v>90</v>
      </c>
      <c r="J24" s="34">
        <f>J12-J15</f>
        <v>0</v>
      </c>
      <c r="K24" s="34">
        <f t="shared" ref="K24:AS24" si="8">K12-K15</f>
        <v>-27609958.333333332</v>
      </c>
      <c r="L24" s="34">
        <f t="shared" si="8"/>
        <v>-14741850.208333332</v>
      </c>
      <c r="M24" s="34">
        <f t="shared" si="8"/>
        <v>-7042018.1239583343</v>
      </c>
      <c r="N24" s="34">
        <f t="shared" si="8"/>
        <v>-4187471.4100052081</v>
      </c>
      <c r="O24" s="34">
        <f t="shared" si="8"/>
        <v>-4240219.5638218494</v>
      </c>
      <c r="P24" s="34">
        <f t="shared" si="8"/>
        <v>4427727.746246594</v>
      </c>
      <c r="Q24" s="34">
        <f t="shared" si="8"/>
        <v>4374360.6773430156</v>
      </c>
      <c r="R24" s="34">
        <f t="shared" si="8"/>
        <v>4320669.2085138392</v>
      </c>
      <c r="S24" s="34">
        <f t="shared" si="8"/>
        <v>4266643.1370532932</v>
      </c>
      <c r="T24" s="34">
        <f t="shared" si="8"/>
        <v>4212272.0747750243</v>
      </c>
      <c r="U24" s="34">
        <f t="shared" si="8"/>
        <v>4157545.4442096199</v>
      </c>
      <c r="V24" s="34">
        <f t="shared" si="8"/>
        <v>4102452.4747265452</v>
      </c>
      <c r="W24" s="34">
        <f t="shared" si="8"/>
        <v>4046982.1985789784</v>
      </c>
      <c r="X24" s="34">
        <f t="shared" si="8"/>
        <v>3991123.4468700052</v>
      </c>
      <c r="Y24" s="34">
        <f t="shared" si="8"/>
        <v>3934864.8454385889</v>
      </c>
      <c r="Z24" s="34">
        <f t="shared" si="8"/>
        <v>4211528.1439970536</v>
      </c>
      <c r="AA24" s="34">
        <f t="shared" si="8"/>
        <v>4154434.8785184389</v>
      </c>
      <c r="AB24" s="34">
        <f t="shared" si="8"/>
        <v>4096906.3668720461</v>
      </c>
      <c r="AC24" s="34">
        <f t="shared" si="8"/>
        <v>4038930.3710388094</v>
      </c>
      <c r="AD24" s="34">
        <f t="shared" si="8"/>
        <v>3980494.4259047606</v>
      </c>
      <c r="AE24" s="34">
        <f t="shared" si="8"/>
        <v>5496738.8334089816</v>
      </c>
      <c r="AF24" s="34">
        <f t="shared" si="8"/>
        <v>5429468.8977146167</v>
      </c>
      <c r="AG24" s="34">
        <f t="shared" si="8"/>
        <v>5361739.5868681762</v>
      </c>
      <c r="AH24" s="34">
        <f t="shared" si="8"/>
        <v>5293537.283248811</v>
      </c>
      <c r="AI24" s="34">
        <f t="shared" si="8"/>
        <v>5224848.1190338433</v>
      </c>
      <c r="AJ24" s="34">
        <f t="shared" si="8"/>
        <v>5155657.9710839754</v>
      </c>
      <c r="AK24" s="34">
        <f t="shared" si="8"/>
        <v>5085952.4557267623</v>
      </c>
      <c r="AL24" s="34">
        <f t="shared" si="8"/>
        <v>5015716.9234362999</v>
      </c>
      <c r="AM24" s="34">
        <f t="shared" si="8"/>
        <v>4944936.453407052</v>
      </c>
      <c r="AN24" s="34">
        <f t="shared" si="8"/>
        <v>4873595.8480197098</v>
      </c>
      <c r="AO24" s="34">
        <f t="shared" si="8"/>
        <v>4801679.6271968987</v>
      </c>
      <c r="AP24" s="34">
        <f t="shared" si="8"/>
        <v>4729172.0226465464</v>
      </c>
      <c r="AQ24" s="34">
        <f t="shared" si="8"/>
        <v>4656056.9719906589</v>
      </c>
      <c r="AR24" s="34">
        <f t="shared" si="8"/>
        <v>4582318.1127771977</v>
      </c>
      <c r="AS24" s="34">
        <f t="shared" si="8"/>
        <v>4507938.7763727345</v>
      </c>
    </row>
    <row r="25" spans="2:1006" outlineLevel="1" x14ac:dyDescent="0.35">
      <c r="C25" s="33" t="s">
        <v>134</v>
      </c>
      <c r="E25" s="33" t="s">
        <v>90</v>
      </c>
      <c r="J25" s="34">
        <f>J14</f>
        <v>28500000</v>
      </c>
      <c r="K25" s="34">
        <f t="shared" ref="K25:AS25" si="9">K14</f>
        <v>0</v>
      </c>
      <c r="L25" s="34">
        <f t="shared" si="9"/>
        <v>0</v>
      </c>
      <c r="M25" s="34">
        <f t="shared" si="9"/>
        <v>0</v>
      </c>
      <c r="N25" s="34">
        <f t="shared" si="9"/>
        <v>0</v>
      </c>
      <c r="O25" s="34">
        <f t="shared" si="9"/>
        <v>0</v>
      </c>
      <c r="P25" s="34">
        <f t="shared" si="9"/>
        <v>0</v>
      </c>
      <c r="Q25" s="34">
        <f t="shared" si="9"/>
        <v>0</v>
      </c>
      <c r="R25" s="34">
        <f t="shared" si="9"/>
        <v>0</v>
      </c>
      <c r="S25" s="34">
        <f t="shared" si="9"/>
        <v>0</v>
      </c>
      <c r="T25" s="34">
        <f t="shared" si="9"/>
        <v>0</v>
      </c>
      <c r="U25" s="34">
        <f t="shared" si="9"/>
        <v>0</v>
      </c>
      <c r="V25" s="34">
        <f t="shared" si="9"/>
        <v>0</v>
      </c>
      <c r="W25" s="34">
        <f t="shared" si="9"/>
        <v>0</v>
      </c>
      <c r="X25" s="34">
        <f t="shared" si="9"/>
        <v>0</v>
      </c>
      <c r="Y25" s="34">
        <f t="shared" si="9"/>
        <v>0</v>
      </c>
      <c r="Z25" s="34">
        <f t="shared" si="9"/>
        <v>0</v>
      </c>
      <c r="AA25" s="34">
        <f t="shared" si="9"/>
        <v>0</v>
      </c>
      <c r="AB25" s="34">
        <f t="shared" si="9"/>
        <v>0</v>
      </c>
      <c r="AC25" s="34">
        <f t="shared" si="9"/>
        <v>0</v>
      </c>
      <c r="AD25" s="34">
        <f t="shared" si="9"/>
        <v>0</v>
      </c>
      <c r="AE25" s="34">
        <f t="shared" si="9"/>
        <v>0</v>
      </c>
      <c r="AF25" s="34">
        <f t="shared" si="9"/>
        <v>0</v>
      </c>
      <c r="AG25" s="34">
        <f t="shared" si="9"/>
        <v>0</v>
      </c>
      <c r="AH25" s="34">
        <f t="shared" si="9"/>
        <v>0</v>
      </c>
      <c r="AI25" s="34">
        <f t="shared" si="9"/>
        <v>0</v>
      </c>
      <c r="AJ25" s="34">
        <f t="shared" si="9"/>
        <v>0</v>
      </c>
      <c r="AK25" s="34">
        <f t="shared" si="9"/>
        <v>0</v>
      </c>
      <c r="AL25" s="34">
        <f t="shared" si="9"/>
        <v>0</v>
      </c>
      <c r="AM25" s="34">
        <f t="shared" si="9"/>
        <v>0</v>
      </c>
      <c r="AN25" s="34">
        <f t="shared" si="9"/>
        <v>0</v>
      </c>
      <c r="AO25" s="34">
        <f t="shared" si="9"/>
        <v>0</v>
      </c>
      <c r="AP25" s="34">
        <f t="shared" si="9"/>
        <v>0</v>
      </c>
      <c r="AQ25" s="34">
        <f t="shared" si="9"/>
        <v>0</v>
      </c>
      <c r="AR25" s="34">
        <f t="shared" si="9"/>
        <v>0</v>
      </c>
      <c r="AS25" s="34">
        <f t="shared" si="9"/>
        <v>0</v>
      </c>
    </row>
    <row r="26" spans="2:1006" outlineLevel="1" x14ac:dyDescent="0.35">
      <c r="C26" s="33" t="s">
        <v>104</v>
      </c>
      <c r="E26" s="33" t="s">
        <v>90</v>
      </c>
      <c r="J26" s="34">
        <f>J12</f>
        <v>0</v>
      </c>
      <c r="K26" s="34">
        <f t="shared" ref="K26:AS26" si="10">K12</f>
        <v>5023375</v>
      </c>
      <c r="L26" s="34">
        <f t="shared" si="10"/>
        <v>4971483.125</v>
      </c>
      <c r="M26" s="34">
        <f t="shared" si="10"/>
        <v>4919315.2093749996</v>
      </c>
      <c r="N26" s="34">
        <f t="shared" si="10"/>
        <v>4866861.9233281258</v>
      </c>
      <c r="O26" s="34">
        <f t="shared" si="10"/>
        <v>4814113.7695114845</v>
      </c>
      <c r="P26" s="34">
        <f t="shared" si="10"/>
        <v>4761061.079579927</v>
      </c>
      <c r="Q26" s="34">
        <f t="shared" si="10"/>
        <v>4707694.0106763486</v>
      </c>
      <c r="R26" s="34">
        <f t="shared" si="10"/>
        <v>4654002.5418471722</v>
      </c>
      <c r="S26" s="34">
        <f t="shared" si="10"/>
        <v>4599976.4703866262</v>
      </c>
      <c r="T26" s="34">
        <f t="shared" si="10"/>
        <v>4545605.4081083573</v>
      </c>
      <c r="U26" s="34">
        <f t="shared" si="10"/>
        <v>4490878.7775429534</v>
      </c>
      <c r="V26" s="34">
        <f t="shared" si="10"/>
        <v>4435785.8080598786</v>
      </c>
      <c r="W26" s="34">
        <f t="shared" si="10"/>
        <v>4380315.5319123119</v>
      </c>
      <c r="X26" s="34">
        <f t="shared" si="10"/>
        <v>4324456.7802033387</v>
      </c>
      <c r="Y26" s="34">
        <f t="shared" si="10"/>
        <v>4268198.1787719224</v>
      </c>
      <c r="Z26" s="34">
        <f t="shared" si="10"/>
        <v>4211528.1439970536</v>
      </c>
      <c r="AA26" s="34">
        <f t="shared" si="10"/>
        <v>4154434.8785184389</v>
      </c>
      <c r="AB26" s="34">
        <f t="shared" si="10"/>
        <v>4096906.3668720461</v>
      </c>
      <c r="AC26" s="34">
        <f t="shared" si="10"/>
        <v>4038930.3710388094</v>
      </c>
      <c r="AD26" s="34">
        <f t="shared" si="10"/>
        <v>3980494.4259047606</v>
      </c>
      <c r="AE26" s="34">
        <f t="shared" si="10"/>
        <v>5496738.8334089816</v>
      </c>
      <c r="AF26" s="34">
        <f t="shared" si="10"/>
        <v>5429468.8977146167</v>
      </c>
      <c r="AG26" s="34">
        <f t="shared" si="10"/>
        <v>5361739.5868681762</v>
      </c>
      <c r="AH26" s="34">
        <f t="shared" si="10"/>
        <v>5293537.283248811</v>
      </c>
      <c r="AI26" s="34">
        <f t="shared" si="10"/>
        <v>5224848.1190338433</v>
      </c>
      <c r="AJ26" s="34">
        <f t="shared" si="10"/>
        <v>5155657.9710839754</v>
      </c>
      <c r="AK26" s="34">
        <f t="shared" si="10"/>
        <v>5085952.4557267623</v>
      </c>
      <c r="AL26" s="34">
        <f t="shared" si="10"/>
        <v>5015716.9234362999</v>
      </c>
      <c r="AM26" s="34">
        <f t="shared" si="10"/>
        <v>4944936.453407052</v>
      </c>
      <c r="AN26" s="34">
        <f t="shared" si="10"/>
        <v>4873595.8480197098</v>
      </c>
      <c r="AO26" s="34">
        <f t="shared" si="10"/>
        <v>4801679.6271968987</v>
      </c>
      <c r="AP26" s="34">
        <f t="shared" si="10"/>
        <v>4729172.0226465464</v>
      </c>
      <c r="AQ26" s="34">
        <f t="shared" si="10"/>
        <v>4656056.9719906589</v>
      </c>
      <c r="AR26" s="34">
        <f t="shared" si="10"/>
        <v>4582318.1127771977</v>
      </c>
      <c r="AS26" s="34">
        <f t="shared" si="10"/>
        <v>4507938.7763727345</v>
      </c>
    </row>
    <row r="27" spans="2:1006" outlineLevel="1" x14ac:dyDescent="0.35"/>
    <row r="28" spans="2:1006" outlineLevel="1" x14ac:dyDescent="0.35"/>
    <row r="29" spans="2:1006" x14ac:dyDescent="0.35">
      <c r="B29" s="28" t="s">
        <v>144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</row>
    <row r="30" spans="2:1006" outlineLevel="1" x14ac:dyDescent="0.35">
      <c r="C30" s="33" t="s">
        <v>145</v>
      </c>
      <c r="E30" s="33" t="s">
        <v>90</v>
      </c>
      <c r="J30" s="34">
        <f>J21*J26</f>
        <v>0</v>
      </c>
      <c r="K30" s="34">
        <f t="shared" ref="K30:AS30" si="11">K21*K26</f>
        <v>1004675</v>
      </c>
      <c r="L30" s="34">
        <f t="shared" si="11"/>
        <v>994296.625</v>
      </c>
      <c r="M30" s="34">
        <f t="shared" si="11"/>
        <v>983863.041875</v>
      </c>
      <c r="N30" s="34">
        <f t="shared" si="11"/>
        <v>973372.38466562517</v>
      </c>
      <c r="O30" s="34">
        <f t="shared" si="11"/>
        <v>962822.753902297</v>
      </c>
      <c r="P30" s="34">
        <f t="shared" si="11"/>
        <v>952212.21591598541</v>
      </c>
      <c r="Q30" s="34">
        <f t="shared" si="11"/>
        <v>941538.80213526974</v>
      </c>
      <c r="R30" s="34">
        <f t="shared" si="11"/>
        <v>232700.12709235863</v>
      </c>
      <c r="S30" s="34">
        <f t="shared" si="11"/>
        <v>229998.82351933132</v>
      </c>
      <c r="T30" s="34">
        <f t="shared" si="11"/>
        <v>227280.27040541789</v>
      </c>
      <c r="U30" s="34">
        <f t="shared" si="11"/>
        <v>224543.93887714768</v>
      </c>
      <c r="V30" s="34">
        <f t="shared" si="11"/>
        <v>221789.29040299394</v>
      </c>
      <c r="W30" s="34">
        <f t="shared" si="11"/>
        <v>219015.77659561561</v>
      </c>
      <c r="X30" s="34">
        <f t="shared" si="11"/>
        <v>216222.83901016694</v>
      </c>
      <c r="Y30" s="34">
        <f t="shared" si="11"/>
        <v>213409.90893859614</v>
      </c>
      <c r="Z30" s="34">
        <f t="shared" si="11"/>
        <v>210576.40719985269</v>
      </c>
      <c r="AA30" s="34">
        <f t="shared" si="11"/>
        <v>207721.74392592197</v>
      </c>
      <c r="AB30" s="34">
        <f t="shared" si="11"/>
        <v>204845.31834360232</v>
      </c>
      <c r="AC30" s="34">
        <f t="shared" si="11"/>
        <v>201946.51855194048</v>
      </c>
      <c r="AD30" s="34">
        <f t="shared" si="11"/>
        <v>199024.72129523804</v>
      </c>
      <c r="AE30" s="34">
        <f t="shared" si="11"/>
        <v>274836.9416704491</v>
      </c>
      <c r="AF30" s="34">
        <f t="shared" si="11"/>
        <v>271473.44488573086</v>
      </c>
      <c r="AG30" s="34">
        <f t="shared" si="11"/>
        <v>268086.97934340884</v>
      </c>
      <c r="AH30" s="34">
        <f t="shared" si="11"/>
        <v>264676.86416244059</v>
      </c>
      <c r="AI30" s="34">
        <f t="shared" si="11"/>
        <v>261242.40595169217</v>
      </c>
      <c r="AJ30" s="34">
        <f t="shared" si="11"/>
        <v>257782.89855419879</v>
      </c>
      <c r="AK30" s="34">
        <f t="shared" si="11"/>
        <v>254297.62278633812</v>
      </c>
      <c r="AL30" s="34">
        <f t="shared" si="11"/>
        <v>250785.84617181501</v>
      </c>
      <c r="AM30" s="34">
        <f t="shared" si="11"/>
        <v>247246.82267035262</v>
      </c>
      <c r="AN30" s="34">
        <f t="shared" si="11"/>
        <v>243679.79240098549</v>
      </c>
      <c r="AO30" s="34">
        <f t="shared" si="11"/>
        <v>240083.98135984494</v>
      </c>
      <c r="AP30" s="34">
        <f t="shared" si="11"/>
        <v>236458.60113232734</v>
      </c>
      <c r="AQ30" s="34">
        <f t="shared" si="11"/>
        <v>232802.84859953297</v>
      </c>
      <c r="AR30" s="34">
        <f t="shared" si="11"/>
        <v>229115.9056388599</v>
      </c>
      <c r="AS30" s="34">
        <f t="shared" si="11"/>
        <v>225396.93881863673</v>
      </c>
    </row>
    <row r="31" spans="2:1006" outlineLevel="1" x14ac:dyDescent="0.35">
      <c r="C31" s="33" t="s">
        <v>143</v>
      </c>
      <c r="E31" s="33" t="s">
        <v>90</v>
      </c>
      <c r="J31" s="34">
        <f>J24*J18</f>
        <v>0</v>
      </c>
      <c r="K31" s="34">
        <f t="shared" ref="K31:AS31" si="12">K24*K18</f>
        <v>-27333858.75</v>
      </c>
      <c r="L31" s="34">
        <f t="shared" si="12"/>
        <v>-14594431.706249999</v>
      </c>
      <c r="M31" s="34">
        <f t="shared" si="12"/>
        <v>-6971597.9427187508</v>
      </c>
      <c r="N31" s="34">
        <f t="shared" si="12"/>
        <v>-4145596.695905156</v>
      </c>
      <c r="O31" s="34">
        <f t="shared" si="12"/>
        <v>-4197817.3681836305</v>
      </c>
      <c r="P31" s="34">
        <f t="shared" si="12"/>
        <v>4383450.4687841283</v>
      </c>
      <c r="Q31" s="34">
        <f t="shared" si="12"/>
        <v>4330617.0705695851</v>
      </c>
      <c r="R31" s="34">
        <f t="shared" si="12"/>
        <v>43206.692085138391</v>
      </c>
      <c r="S31" s="34">
        <f t="shared" si="12"/>
        <v>42666.431370532933</v>
      </c>
      <c r="T31" s="34">
        <f t="shared" si="12"/>
        <v>42122.720747750245</v>
      </c>
      <c r="U31" s="34">
        <f t="shared" si="12"/>
        <v>41575.454442096197</v>
      </c>
      <c r="V31" s="34">
        <f t="shared" si="12"/>
        <v>41024.524747265452</v>
      </c>
      <c r="W31" s="34">
        <f t="shared" si="12"/>
        <v>40469.821985789786</v>
      </c>
      <c r="X31" s="34">
        <f t="shared" si="12"/>
        <v>39911.234468700051</v>
      </c>
      <c r="Y31" s="34">
        <f t="shared" si="12"/>
        <v>39348.64845438589</v>
      </c>
      <c r="Z31" s="34">
        <f t="shared" si="12"/>
        <v>42115.281439970538</v>
      </c>
      <c r="AA31" s="34">
        <f t="shared" si="12"/>
        <v>41544.348785184389</v>
      </c>
      <c r="AB31" s="34">
        <f t="shared" si="12"/>
        <v>40969.063668720461</v>
      </c>
      <c r="AC31" s="34">
        <f t="shared" si="12"/>
        <v>40389.303710388092</v>
      </c>
      <c r="AD31" s="34">
        <f t="shared" si="12"/>
        <v>39804.94425904761</v>
      </c>
      <c r="AE31" s="34">
        <f t="shared" si="12"/>
        <v>54967.388334089817</v>
      </c>
      <c r="AF31" s="34">
        <f t="shared" si="12"/>
        <v>54294.688977146172</v>
      </c>
      <c r="AG31" s="34">
        <f t="shared" si="12"/>
        <v>53617.395868681764</v>
      </c>
      <c r="AH31" s="34">
        <f t="shared" si="12"/>
        <v>52935.372832488109</v>
      </c>
      <c r="AI31" s="34">
        <f t="shared" si="12"/>
        <v>52248.481190338432</v>
      </c>
      <c r="AJ31" s="34">
        <f t="shared" si="12"/>
        <v>51556.579710839753</v>
      </c>
      <c r="AK31" s="34">
        <f t="shared" si="12"/>
        <v>50859.524557267621</v>
      </c>
      <c r="AL31" s="34">
        <f t="shared" si="12"/>
        <v>50157.169234362998</v>
      </c>
      <c r="AM31" s="34">
        <f t="shared" si="12"/>
        <v>49449.364534070519</v>
      </c>
      <c r="AN31" s="34">
        <f t="shared" si="12"/>
        <v>48735.9584801971</v>
      </c>
      <c r="AO31" s="34">
        <f t="shared" si="12"/>
        <v>48016.796271968989</v>
      </c>
      <c r="AP31" s="34">
        <f t="shared" si="12"/>
        <v>47291.720226465462</v>
      </c>
      <c r="AQ31" s="34">
        <f t="shared" si="12"/>
        <v>46560.569719906591</v>
      </c>
      <c r="AR31" s="34">
        <f t="shared" si="12"/>
        <v>45823.181127771975</v>
      </c>
      <c r="AS31" s="34">
        <f t="shared" si="12"/>
        <v>45079.387763727347</v>
      </c>
    </row>
    <row r="32" spans="2:1006" outlineLevel="1" x14ac:dyDescent="0.35">
      <c r="C32" s="33" t="s">
        <v>134</v>
      </c>
      <c r="E32" s="33" t="s">
        <v>90</v>
      </c>
      <c r="J32" s="34">
        <f>J18*J25</f>
        <v>28215000</v>
      </c>
      <c r="K32" s="34">
        <f t="shared" ref="K32:AS32" si="13">K18*K25</f>
        <v>0</v>
      </c>
      <c r="L32" s="34">
        <f t="shared" si="13"/>
        <v>0</v>
      </c>
      <c r="M32" s="34">
        <f t="shared" si="13"/>
        <v>0</v>
      </c>
      <c r="N32" s="34">
        <f t="shared" si="13"/>
        <v>0</v>
      </c>
      <c r="O32" s="34">
        <f t="shared" si="13"/>
        <v>0</v>
      </c>
      <c r="P32" s="34">
        <f t="shared" si="13"/>
        <v>0</v>
      </c>
      <c r="Q32" s="34">
        <f t="shared" si="13"/>
        <v>0</v>
      </c>
      <c r="R32" s="34">
        <f t="shared" si="13"/>
        <v>0</v>
      </c>
      <c r="S32" s="34">
        <f t="shared" si="13"/>
        <v>0</v>
      </c>
      <c r="T32" s="34">
        <f t="shared" si="13"/>
        <v>0</v>
      </c>
      <c r="U32" s="34">
        <f t="shared" si="13"/>
        <v>0</v>
      </c>
      <c r="V32" s="34">
        <f t="shared" si="13"/>
        <v>0</v>
      </c>
      <c r="W32" s="34">
        <f t="shared" si="13"/>
        <v>0</v>
      </c>
      <c r="X32" s="34">
        <f t="shared" si="13"/>
        <v>0</v>
      </c>
      <c r="Y32" s="34">
        <f t="shared" si="13"/>
        <v>0</v>
      </c>
      <c r="Z32" s="34">
        <f t="shared" si="13"/>
        <v>0</v>
      </c>
      <c r="AA32" s="34">
        <f t="shared" si="13"/>
        <v>0</v>
      </c>
      <c r="AB32" s="34">
        <f t="shared" si="13"/>
        <v>0</v>
      </c>
      <c r="AC32" s="34">
        <f t="shared" si="13"/>
        <v>0</v>
      </c>
      <c r="AD32" s="34">
        <f t="shared" si="13"/>
        <v>0</v>
      </c>
      <c r="AE32" s="34">
        <f t="shared" si="13"/>
        <v>0</v>
      </c>
      <c r="AF32" s="34">
        <f t="shared" si="13"/>
        <v>0</v>
      </c>
      <c r="AG32" s="34">
        <f t="shared" si="13"/>
        <v>0</v>
      </c>
      <c r="AH32" s="34">
        <f t="shared" si="13"/>
        <v>0</v>
      </c>
      <c r="AI32" s="34">
        <f t="shared" si="13"/>
        <v>0</v>
      </c>
      <c r="AJ32" s="34">
        <f t="shared" si="13"/>
        <v>0</v>
      </c>
      <c r="AK32" s="34">
        <f t="shared" si="13"/>
        <v>0</v>
      </c>
      <c r="AL32" s="34">
        <f t="shared" si="13"/>
        <v>0</v>
      </c>
      <c r="AM32" s="34">
        <f t="shared" si="13"/>
        <v>0</v>
      </c>
      <c r="AN32" s="34">
        <f t="shared" si="13"/>
        <v>0</v>
      </c>
      <c r="AO32" s="34">
        <f t="shared" si="13"/>
        <v>0</v>
      </c>
      <c r="AP32" s="34">
        <f t="shared" si="13"/>
        <v>0</v>
      </c>
      <c r="AQ32" s="34">
        <f t="shared" si="13"/>
        <v>0</v>
      </c>
      <c r="AR32" s="34">
        <f t="shared" si="13"/>
        <v>0</v>
      </c>
      <c r="AS32" s="34">
        <f t="shared" si="13"/>
        <v>0</v>
      </c>
    </row>
    <row r="33" spans="2:1006" outlineLevel="1" x14ac:dyDescent="0.35"/>
    <row r="34" spans="2:1006" outlineLevel="1" x14ac:dyDescent="0.35">
      <c r="C34" s="33" t="s">
        <v>146</v>
      </c>
      <c r="E34" s="33" t="s">
        <v>90</v>
      </c>
      <c r="F34" s="33" t="s">
        <v>63</v>
      </c>
      <c r="G34" s="23">
        <f>Inputs!F35</f>
        <v>1.4</v>
      </c>
      <c r="H34" s="34">
        <f>J14</f>
        <v>28500000</v>
      </c>
      <c r="J34" s="34">
        <f>IF(J8,0,$G$34*$H$34)</f>
        <v>39900000</v>
      </c>
      <c r="K34" s="34">
        <f t="shared" ref="K34:AS34" si="14">IF(K8,0,$G$34*$H$34)</f>
        <v>0</v>
      </c>
      <c r="L34" s="34">
        <f t="shared" si="14"/>
        <v>0</v>
      </c>
      <c r="M34" s="34">
        <f t="shared" si="14"/>
        <v>0</v>
      </c>
      <c r="N34" s="34">
        <f t="shared" si="14"/>
        <v>0</v>
      </c>
      <c r="O34" s="34">
        <f t="shared" si="14"/>
        <v>0</v>
      </c>
      <c r="P34" s="34">
        <f t="shared" si="14"/>
        <v>0</v>
      </c>
      <c r="Q34" s="34">
        <f t="shared" si="14"/>
        <v>0</v>
      </c>
      <c r="R34" s="34">
        <f t="shared" si="14"/>
        <v>0</v>
      </c>
      <c r="S34" s="34">
        <f t="shared" si="14"/>
        <v>0</v>
      </c>
      <c r="T34" s="34">
        <f t="shared" si="14"/>
        <v>0</v>
      </c>
      <c r="U34" s="34">
        <f t="shared" si="14"/>
        <v>0</v>
      </c>
      <c r="V34" s="34">
        <f t="shared" si="14"/>
        <v>0</v>
      </c>
      <c r="W34" s="34">
        <f t="shared" si="14"/>
        <v>0</v>
      </c>
      <c r="X34" s="34">
        <f t="shared" si="14"/>
        <v>0</v>
      </c>
      <c r="Y34" s="34">
        <f t="shared" si="14"/>
        <v>0</v>
      </c>
      <c r="Z34" s="34">
        <f t="shared" si="14"/>
        <v>0</v>
      </c>
      <c r="AA34" s="34">
        <f t="shared" si="14"/>
        <v>0</v>
      </c>
      <c r="AB34" s="34">
        <f t="shared" si="14"/>
        <v>0</v>
      </c>
      <c r="AC34" s="34">
        <f t="shared" si="14"/>
        <v>0</v>
      </c>
      <c r="AD34" s="34">
        <f t="shared" si="14"/>
        <v>0</v>
      </c>
      <c r="AE34" s="34">
        <f t="shared" si="14"/>
        <v>0</v>
      </c>
      <c r="AF34" s="34">
        <f t="shared" si="14"/>
        <v>0</v>
      </c>
      <c r="AG34" s="34">
        <f t="shared" si="14"/>
        <v>0</v>
      </c>
      <c r="AH34" s="34">
        <f t="shared" si="14"/>
        <v>0</v>
      </c>
      <c r="AI34" s="34">
        <f t="shared" si="14"/>
        <v>0</v>
      </c>
      <c r="AJ34" s="34">
        <f t="shared" si="14"/>
        <v>0</v>
      </c>
      <c r="AK34" s="34">
        <f t="shared" si="14"/>
        <v>0</v>
      </c>
      <c r="AL34" s="34">
        <f t="shared" si="14"/>
        <v>0</v>
      </c>
      <c r="AM34" s="34">
        <f t="shared" si="14"/>
        <v>0</v>
      </c>
      <c r="AN34" s="34">
        <f t="shared" si="14"/>
        <v>0</v>
      </c>
      <c r="AO34" s="34">
        <f t="shared" si="14"/>
        <v>0</v>
      </c>
      <c r="AP34" s="34">
        <f t="shared" si="14"/>
        <v>0</v>
      </c>
      <c r="AQ34" s="34">
        <f t="shared" si="14"/>
        <v>0</v>
      </c>
      <c r="AR34" s="34">
        <f t="shared" si="14"/>
        <v>0</v>
      </c>
      <c r="AS34" s="34">
        <f t="shared" si="14"/>
        <v>0</v>
      </c>
    </row>
    <row r="35" spans="2:1006" outlineLevel="1" x14ac:dyDescent="0.35"/>
    <row r="36" spans="2:1006" x14ac:dyDescent="0.35">
      <c r="B36" s="28" t="s">
        <v>152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</row>
    <row r="37" spans="2:1006" outlineLevel="1" x14ac:dyDescent="0.35">
      <c r="C37" s="33" t="s">
        <v>145</v>
      </c>
      <c r="E37" s="33" t="s">
        <v>90</v>
      </c>
      <c r="I37" s="21">
        <f>SUM(J37:XFD37)</f>
        <v>13379824.401798973</v>
      </c>
      <c r="J37" s="34">
        <f>J30</f>
        <v>0</v>
      </c>
      <c r="K37" s="34">
        <f t="shared" ref="K37:AS37" si="15">K30</f>
        <v>1004675</v>
      </c>
      <c r="L37" s="34">
        <f t="shared" si="15"/>
        <v>994296.625</v>
      </c>
      <c r="M37" s="34">
        <f t="shared" si="15"/>
        <v>983863.041875</v>
      </c>
      <c r="N37" s="34">
        <f t="shared" si="15"/>
        <v>973372.38466562517</v>
      </c>
      <c r="O37" s="34">
        <f t="shared" si="15"/>
        <v>962822.753902297</v>
      </c>
      <c r="P37" s="34">
        <f t="shared" si="15"/>
        <v>952212.21591598541</v>
      </c>
      <c r="Q37" s="34">
        <f t="shared" si="15"/>
        <v>941538.80213526974</v>
      </c>
      <c r="R37" s="34">
        <f t="shared" si="15"/>
        <v>232700.12709235863</v>
      </c>
      <c r="S37" s="34">
        <f t="shared" si="15"/>
        <v>229998.82351933132</v>
      </c>
      <c r="T37" s="34">
        <f t="shared" si="15"/>
        <v>227280.27040541789</v>
      </c>
      <c r="U37" s="34">
        <f t="shared" si="15"/>
        <v>224543.93887714768</v>
      </c>
      <c r="V37" s="34">
        <f t="shared" si="15"/>
        <v>221789.29040299394</v>
      </c>
      <c r="W37" s="34">
        <f t="shared" si="15"/>
        <v>219015.77659561561</v>
      </c>
      <c r="X37" s="34">
        <f t="shared" si="15"/>
        <v>216222.83901016694</v>
      </c>
      <c r="Y37" s="34">
        <f t="shared" si="15"/>
        <v>213409.90893859614</v>
      </c>
      <c r="Z37" s="34">
        <f t="shared" si="15"/>
        <v>210576.40719985269</v>
      </c>
      <c r="AA37" s="34">
        <f t="shared" si="15"/>
        <v>207721.74392592197</v>
      </c>
      <c r="AB37" s="34">
        <f t="shared" si="15"/>
        <v>204845.31834360232</v>
      </c>
      <c r="AC37" s="34">
        <f t="shared" si="15"/>
        <v>201946.51855194048</v>
      </c>
      <c r="AD37" s="34">
        <f t="shared" si="15"/>
        <v>199024.72129523804</v>
      </c>
      <c r="AE37" s="34">
        <f t="shared" si="15"/>
        <v>274836.9416704491</v>
      </c>
      <c r="AF37" s="34">
        <f t="shared" si="15"/>
        <v>271473.44488573086</v>
      </c>
      <c r="AG37" s="34">
        <f t="shared" si="15"/>
        <v>268086.97934340884</v>
      </c>
      <c r="AH37" s="34">
        <f t="shared" si="15"/>
        <v>264676.86416244059</v>
      </c>
      <c r="AI37" s="34">
        <f t="shared" si="15"/>
        <v>261242.40595169217</v>
      </c>
      <c r="AJ37" s="34">
        <f t="shared" si="15"/>
        <v>257782.89855419879</v>
      </c>
      <c r="AK37" s="34">
        <f t="shared" si="15"/>
        <v>254297.62278633812</v>
      </c>
      <c r="AL37" s="34">
        <f t="shared" si="15"/>
        <v>250785.84617181501</v>
      </c>
      <c r="AM37" s="34">
        <f t="shared" si="15"/>
        <v>247246.82267035262</v>
      </c>
      <c r="AN37" s="34">
        <f t="shared" si="15"/>
        <v>243679.79240098549</v>
      </c>
      <c r="AO37" s="34">
        <f t="shared" si="15"/>
        <v>240083.98135984494</v>
      </c>
      <c r="AP37" s="34">
        <f t="shared" si="15"/>
        <v>236458.60113232734</v>
      </c>
      <c r="AQ37" s="34">
        <f t="shared" si="15"/>
        <v>232802.84859953297</v>
      </c>
      <c r="AR37" s="34">
        <f t="shared" si="15"/>
        <v>229115.9056388599</v>
      </c>
      <c r="AS37" s="34">
        <f t="shared" si="15"/>
        <v>225396.93881863673</v>
      </c>
    </row>
    <row r="38" spans="2:1006" outlineLevel="1" x14ac:dyDescent="0.35">
      <c r="C38" s="33" t="s">
        <v>147</v>
      </c>
      <c r="E38" s="33" t="s">
        <v>90</v>
      </c>
      <c r="F38" s="33" t="s">
        <v>60</v>
      </c>
      <c r="G38" s="27">
        <f>Inputs!F30</f>
        <v>0.21</v>
      </c>
      <c r="I38" s="21">
        <f t="shared" ref="I38:I41" si="16">SUM(J38:XFD38)</f>
        <v>-9920923.5036889911</v>
      </c>
      <c r="J38" s="34">
        <f>J31*$G$38</f>
        <v>0</v>
      </c>
      <c r="K38" s="34">
        <f t="shared" ref="K38:AS38" si="17">K31*$G$38</f>
        <v>-5740110.3374999994</v>
      </c>
      <c r="L38" s="34">
        <f t="shared" si="17"/>
        <v>-3064830.6583124995</v>
      </c>
      <c r="M38" s="34">
        <f t="shared" si="17"/>
        <v>-1464035.5679709376</v>
      </c>
      <c r="N38" s="34">
        <f t="shared" si="17"/>
        <v>-870575.30614008277</v>
      </c>
      <c r="O38" s="34">
        <f t="shared" si="17"/>
        <v>-881541.64731856238</v>
      </c>
      <c r="P38" s="34">
        <f t="shared" si="17"/>
        <v>920524.59844466695</v>
      </c>
      <c r="Q38" s="34">
        <f t="shared" si="17"/>
        <v>909429.58481961279</v>
      </c>
      <c r="R38" s="34">
        <f t="shared" si="17"/>
        <v>9073.4053378790613</v>
      </c>
      <c r="S38" s="34">
        <f t="shared" si="17"/>
        <v>8959.9505878119162</v>
      </c>
      <c r="T38" s="34">
        <f t="shared" si="17"/>
        <v>8845.7713570275519</v>
      </c>
      <c r="U38" s="34">
        <f t="shared" si="17"/>
        <v>8730.8454328402004</v>
      </c>
      <c r="V38" s="34">
        <f t="shared" si="17"/>
        <v>8615.1501969257442</v>
      </c>
      <c r="W38" s="34">
        <f t="shared" si="17"/>
        <v>8498.6626170158543</v>
      </c>
      <c r="X38" s="34">
        <f t="shared" si="17"/>
        <v>8381.3592384270105</v>
      </c>
      <c r="Y38" s="34">
        <f t="shared" si="17"/>
        <v>8263.2161754210374</v>
      </c>
      <c r="Z38" s="34">
        <f t="shared" si="17"/>
        <v>8844.2091023938119</v>
      </c>
      <c r="AA38" s="34">
        <f t="shared" si="17"/>
        <v>8724.3132448887209</v>
      </c>
      <c r="AB38" s="34">
        <f t="shared" si="17"/>
        <v>8603.5033704312973</v>
      </c>
      <c r="AC38" s="34">
        <f t="shared" si="17"/>
        <v>8481.7537791814993</v>
      </c>
      <c r="AD38" s="34">
        <f t="shared" si="17"/>
        <v>8359.0382943999975</v>
      </c>
      <c r="AE38" s="34">
        <f t="shared" si="17"/>
        <v>11543.151550158862</v>
      </c>
      <c r="AF38" s="34">
        <f t="shared" si="17"/>
        <v>11401.884685200695</v>
      </c>
      <c r="AG38" s="34">
        <f t="shared" si="17"/>
        <v>11259.653132423169</v>
      </c>
      <c r="AH38" s="34">
        <f t="shared" si="17"/>
        <v>11116.428294822503</v>
      </c>
      <c r="AI38" s="34">
        <f t="shared" si="17"/>
        <v>10972.18104997107</v>
      </c>
      <c r="AJ38" s="34">
        <f t="shared" si="17"/>
        <v>10826.881739276349</v>
      </c>
      <c r="AK38" s="34">
        <f t="shared" si="17"/>
        <v>10680.500157026199</v>
      </c>
      <c r="AL38" s="34">
        <f t="shared" si="17"/>
        <v>10533.005539216228</v>
      </c>
      <c r="AM38" s="34">
        <f t="shared" si="17"/>
        <v>10384.366552154808</v>
      </c>
      <c r="AN38" s="34">
        <f t="shared" si="17"/>
        <v>10234.551280841391</v>
      </c>
      <c r="AO38" s="34">
        <f t="shared" si="17"/>
        <v>10083.527217113487</v>
      </c>
      <c r="AP38" s="34">
        <f t="shared" si="17"/>
        <v>9931.2612475577462</v>
      </c>
      <c r="AQ38" s="34">
        <f t="shared" si="17"/>
        <v>9777.7196411803834</v>
      </c>
      <c r="AR38" s="34">
        <f t="shared" si="17"/>
        <v>9622.8680368321147</v>
      </c>
      <c r="AS38" s="34">
        <f t="shared" si="17"/>
        <v>9466.671430382743</v>
      </c>
    </row>
    <row r="39" spans="2:1006" outlineLevel="1" x14ac:dyDescent="0.35">
      <c r="C39" s="33" t="s">
        <v>134</v>
      </c>
      <c r="E39" s="33" t="s">
        <v>90</v>
      </c>
      <c r="I39" s="21">
        <f t="shared" si="16"/>
        <v>28215000</v>
      </c>
      <c r="J39" s="34">
        <f>J32</f>
        <v>28215000</v>
      </c>
      <c r="K39" s="34">
        <f t="shared" ref="K39:AS39" si="18">K32</f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34">
        <f t="shared" si="18"/>
        <v>0</v>
      </c>
      <c r="Q39" s="34">
        <f t="shared" si="18"/>
        <v>0</v>
      </c>
      <c r="R39" s="34">
        <f t="shared" si="18"/>
        <v>0</v>
      </c>
      <c r="S39" s="34">
        <f t="shared" si="18"/>
        <v>0</v>
      </c>
      <c r="T39" s="34">
        <f t="shared" si="18"/>
        <v>0</v>
      </c>
      <c r="U39" s="34">
        <f t="shared" si="18"/>
        <v>0</v>
      </c>
      <c r="V39" s="34">
        <f t="shared" si="18"/>
        <v>0</v>
      </c>
      <c r="W39" s="34">
        <f t="shared" si="18"/>
        <v>0</v>
      </c>
      <c r="X39" s="34">
        <f t="shared" si="18"/>
        <v>0</v>
      </c>
      <c r="Y39" s="34">
        <f t="shared" si="18"/>
        <v>0</v>
      </c>
      <c r="Z39" s="34">
        <f t="shared" si="18"/>
        <v>0</v>
      </c>
      <c r="AA39" s="34">
        <f t="shared" si="18"/>
        <v>0</v>
      </c>
      <c r="AB39" s="34">
        <f t="shared" si="18"/>
        <v>0</v>
      </c>
      <c r="AC39" s="34">
        <f t="shared" si="18"/>
        <v>0</v>
      </c>
      <c r="AD39" s="34">
        <f t="shared" si="18"/>
        <v>0</v>
      </c>
      <c r="AE39" s="34">
        <f t="shared" si="18"/>
        <v>0</v>
      </c>
      <c r="AF39" s="34">
        <f t="shared" si="18"/>
        <v>0</v>
      </c>
      <c r="AG39" s="34">
        <f t="shared" si="18"/>
        <v>0</v>
      </c>
      <c r="AH39" s="34">
        <f t="shared" si="18"/>
        <v>0</v>
      </c>
      <c r="AI39" s="34">
        <f t="shared" si="18"/>
        <v>0</v>
      </c>
      <c r="AJ39" s="34">
        <f t="shared" si="18"/>
        <v>0</v>
      </c>
      <c r="AK39" s="34">
        <f t="shared" si="18"/>
        <v>0</v>
      </c>
      <c r="AL39" s="34">
        <f t="shared" si="18"/>
        <v>0</v>
      </c>
      <c r="AM39" s="34">
        <f t="shared" si="18"/>
        <v>0</v>
      </c>
      <c r="AN39" s="34">
        <f t="shared" si="18"/>
        <v>0</v>
      </c>
      <c r="AO39" s="34">
        <f t="shared" si="18"/>
        <v>0</v>
      </c>
      <c r="AP39" s="34">
        <f t="shared" si="18"/>
        <v>0</v>
      </c>
      <c r="AQ39" s="34">
        <f t="shared" si="18"/>
        <v>0</v>
      </c>
      <c r="AR39" s="34">
        <f t="shared" si="18"/>
        <v>0</v>
      </c>
      <c r="AS39" s="34">
        <f t="shared" si="18"/>
        <v>0</v>
      </c>
    </row>
    <row r="40" spans="2:1006" outlineLevel="1" x14ac:dyDescent="0.35">
      <c r="C40" s="33" t="s">
        <v>150</v>
      </c>
      <c r="E40" s="33" t="s">
        <v>90</v>
      </c>
      <c r="I40" s="21">
        <f t="shared" si="16"/>
        <v>39900000</v>
      </c>
      <c r="J40" s="34">
        <f>J34</f>
        <v>39900000</v>
      </c>
      <c r="K40" s="34">
        <f t="shared" ref="K40:AS40" si="19">K34</f>
        <v>0</v>
      </c>
      <c r="L40" s="34">
        <f t="shared" si="19"/>
        <v>0</v>
      </c>
      <c r="M40" s="34">
        <f t="shared" si="19"/>
        <v>0</v>
      </c>
      <c r="N40" s="34">
        <f t="shared" si="19"/>
        <v>0</v>
      </c>
      <c r="O40" s="34">
        <f t="shared" si="19"/>
        <v>0</v>
      </c>
      <c r="P40" s="34">
        <f t="shared" si="19"/>
        <v>0</v>
      </c>
      <c r="Q40" s="34">
        <f t="shared" si="19"/>
        <v>0</v>
      </c>
      <c r="R40" s="34">
        <f t="shared" si="19"/>
        <v>0</v>
      </c>
      <c r="S40" s="34">
        <f t="shared" si="19"/>
        <v>0</v>
      </c>
      <c r="T40" s="34">
        <f t="shared" si="19"/>
        <v>0</v>
      </c>
      <c r="U40" s="34">
        <f t="shared" si="19"/>
        <v>0</v>
      </c>
      <c r="V40" s="34">
        <f t="shared" si="19"/>
        <v>0</v>
      </c>
      <c r="W40" s="34">
        <f t="shared" si="19"/>
        <v>0</v>
      </c>
      <c r="X40" s="34">
        <f t="shared" si="19"/>
        <v>0</v>
      </c>
      <c r="Y40" s="34">
        <f t="shared" si="19"/>
        <v>0</v>
      </c>
      <c r="Z40" s="34">
        <f t="shared" si="19"/>
        <v>0</v>
      </c>
      <c r="AA40" s="34">
        <f t="shared" si="19"/>
        <v>0</v>
      </c>
      <c r="AB40" s="34">
        <f t="shared" si="19"/>
        <v>0</v>
      </c>
      <c r="AC40" s="34">
        <f t="shared" si="19"/>
        <v>0</v>
      </c>
      <c r="AD40" s="34">
        <f t="shared" si="19"/>
        <v>0</v>
      </c>
      <c r="AE40" s="34">
        <f t="shared" si="19"/>
        <v>0</v>
      </c>
      <c r="AF40" s="34">
        <f t="shared" si="19"/>
        <v>0</v>
      </c>
      <c r="AG40" s="34">
        <f t="shared" si="19"/>
        <v>0</v>
      </c>
      <c r="AH40" s="34">
        <f t="shared" si="19"/>
        <v>0</v>
      </c>
      <c r="AI40" s="34">
        <f t="shared" si="19"/>
        <v>0</v>
      </c>
      <c r="AJ40" s="34">
        <f t="shared" si="19"/>
        <v>0</v>
      </c>
      <c r="AK40" s="34">
        <f t="shared" si="19"/>
        <v>0</v>
      </c>
      <c r="AL40" s="34">
        <f t="shared" si="19"/>
        <v>0</v>
      </c>
      <c r="AM40" s="34">
        <f t="shared" si="19"/>
        <v>0</v>
      </c>
      <c r="AN40" s="34">
        <f t="shared" si="19"/>
        <v>0</v>
      </c>
      <c r="AO40" s="34">
        <f t="shared" si="19"/>
        <v>0</v>
      </c>
      <c r="AP40" s="34">
        <f t="shared" si="19"/>
        <v>0</v>
      </c>
      <c r="AQ40" s="34">
        <f t="shared" si="19"/>
        <v>0</v>
      </c>
      <c r="AR40" s="34">
        <f t="shared" si="19"/>
        <v>0</v>
      </c>
      <c r="AS40" s="34">
        <f t="shared" si="19"/>
        <v>0</v>
      </c>
    </row>
    <row r="41" spans="2:1006" outlineLevel="1" x14ac:dyDescent="0.35">
      <c r="C41" s="33" t="s">
        <v>148</v>
      </c>
      <c r="E41" s="33" t="s">
        <v>90</v>
      </c>
      <c r="I41" s="21">
        <f t="shared" si="16"/>
        <v>11615747.905487977</v>
      </c>
      <c r="J41" s="34">
        <f>J37-J38+J39-J40</f>
        <v>-11685000</v>
      </c>
      <c r="K41" s="34">
        <f t="shared" ref="K41:AS41" si="20">K37-K38+K39-K40</f>
        <v>6744785.3374999994</v>
      </c>
      <c r="L41" s="34">
        <f t="shared" si="20"/>
        <v>4059127.2833124995</v>
      </c>
      <c r="M41" s="34">
        <f t="shared" si="20"/>
        <v>2447898.6098459377</v>
      </c>
      <c r="N41" s="34">
        <f t="shared" si="20"/>
        <v>1843947.6908057081</v>
      </c>
      <c r="O41" s="34">
        <f t="shared" si="20"/>
        <v>1844364.4012208595</v>
      </c>
      <c r="P41" s="34">
        <f t="shared" si="20"/>
        <v>31687.617471318459</v>
      </c>
      <c r="Q41" s="34">
        <f t="shared" si="20"/>
        <v>32109.217315656948</v>
      </c>
      <c r="R41" s="34">
        <f t="shared" si="20"/>
        <v>223626.72175447957</v>
      </c>
      <c r="S41" s="34">
        <f t="shared" si="20"/>
        <v>221038.87293151941</v>
      </c>
      <c r="T41" s="34">
        <f t="shared" si="20"/>
        <v>218434.49904839034</v>
      </c>
      <c r="U41" s="34">
        <f t="shared" si="20"/>
        <v>215813.09344430748</v>
      </c>
      <c r="V41" s="34">
        <f t="shared" si="20"/>
        <v>213174.1402060682</v>
      </c>
      <c r="W41" s="34">
        <f t="shared" si="20"/>
        <v>210517.11397859975</v>
      </c>
      <c r="X41" s="34">
        <f t="shared" si="20"/>
        <v>207841.47977173992</v>
      </c>
      <c r="Y41" s="34">
        <f t="shared" si="20"/>
        <v>205146.69276317512</v>
      </c>
      <c r="Z41" s="34">
        <f t="shared" si="20"/>
        <v>201732.19809745887</v>
      </c>
      <c r="AA41" s="34">
        <f t="shared" si="20"/>
        <v>198997.43068103323</v>
      </c>
      <c r="AB41" s="34">
        <f t="shared" si="20"/>
        <v>196241.81497317101</v>
      </c>
      <c r="AC41" s="34">
        <f t="shared" si="20"/>
        <v>193464.76477275896</v>
      </c>
      <c r="AD41" s="34">
        <f t="shared" si="20"/>
        <v>190665.68300083803</v>
      </c>
      <c r="AE41" s="34">
        <f t="shared" si="20"/>
        <v>263293.79012029024</v>
      </c>
      <c r="AF41" s="34">
        <f t="shared" si="20"/>
        <v>260071.56020053016</v>
      </c>
      <c r="AG41" s="34">
        <f t="shared" si="20"/>
        <v>256827.32621098566</v>
      </c>
      <c r="AH41" s="34">
        <f t="shared" si="20"/>
        <v>253560.43586761807</v>
      </c>
      <c r="AI41" s="34">
        <f t="shared" si="20"/>
        <v>250270.22490172111</v>
      </c>
      <c r="AJ41" s="34">
        <f t="shared" si="20"/>
        <v>246956.01681492245</v>
      </c>
      <c r="AK41" s="34">
        <f t="shared" si="20"/>
        <v>243617.12262931193</v>
      </c>
      <c r="AL41" s="34">
        <f t="shared" si="20"/>
        <v>240252.84063259879</v>
      </c>
      <c r="AM41" s="34">
        <f t="shared" si="20"/>
        <v>236862.45611819782</v>
      </c>
      <c r="AN41" s="34">
        <f t="shared" si="20"/>
        <v>233445.24112014408</v>
      </c>
      <c r="AO41" s="34">
        <f t="shared" si="20"/>
        <v>230000.45414273144</v>
      </c>
      <c r="AP41" s="34">
        <f t="shared" si="20"/>
        <v>226527.33988476961</v>
      </c>
      <c r="AQ41" s="34">
        <f t="shared" si="20"/>
        <v>223025.12895835258</v>
      </c>
      <c r="AR41" s="34">
        <f t="shared" si="20"/>
        <v>219493.03760202779</v>
      </c>
      <c r="AS41" s="34">
        <f t="shared" si="20"/>
        <v>215930.267388254</v>
      </c>
    </row>
    <row r="42" spans="2:1006" outlineLevel="1" x14ac:dyDescent="0.35">
      <c r="C42" s="33" t="s">
        <v>149</v>
      </c>
      <c r="E42" s="33" t="s">
        <v>60</v>
      </c>
      <c r="F42" s="38">
        <f>IRR(J41:AS41)</f>
        <v>0.20554672953846853</v>
      </c>
    </row>
    <row r="43" spans="2:1006" outlineLevel="1" x14ac:dyDescent="0.35"/>
    <row r="44" spans="2:1006" x14ac:dyDescent="0.35">
      <c r="B44" s="28" t="s">
        <v>153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</row>
    <row r="45" spans="2:1006" outlineLevel="1" x14ac:dyDescent="0.35">
      <c r="C45" s="33" t="s">
        <v>154</v>
      </c>
      <c r="E45" s="33" t="s">
        <v>90</v>
      </c>
      <c r="I45" s="21">
        <f t="shared" ref="I45:I49" si="21">SUM(J45:XFD45)</f>
        <v>60100000</v>
      </c>
      <c r="J45" s="34">
        <f>J13-J40</f>
        <v>60100000</v>
      </c>
      <c r="K45" s="34">
        <f t="shared" ref="K45:AS45" si="22">K13-K40</f>
        <v>0</v>
      </c>
      <c r="L45" s="34">
        <f t="shared" si="22"/>
        <v>0</v>
      </c>
      <c r="M45" s="34">
        <f t="shared" si="22"/>
        <v>0</v>
      </c>
      <c r="N45" s="34">
        <f t="shared" si="22"/>
        <v>0</v>
      </c>
      <c r="O45" s="34">
        <f t="shared" si="22"/>
        <v>0</v>
      </c>
      <c r="P45" s="34">
        <f t="shared" si="22"/>
        <v>0</v>
      </c>
      <c r="Q45" s="34">
        <f t="shared" si="22"/>
        <v>0</v>
      </c>
      <c r="R45" s="34">
        <f t="shared" si="22"/>
        <v>0</v>
      </c>
      <c r="S45" s="34">
        <f t="shared" si="22"/>
        <v>0</v>
      </c>
      <c r="T45" s="34">
        <f t="shared" si="22"/>
        <v>0</v>
      </c>
      <c r="U45" s="34">
        <f t="shared" si="22"/>
        <v>0</v>
      </c>
      <c r="V45" s="34">
        <f t="shared" si="22"/>
        <v>0</v>
      </c>
      <c r="W45" s="34">
        <f t="shared" si="22"/>
        <v>0</v>
      </c>
      <c r="X45" s="34">
        <f t="shared" si="22"/>
        <v>0</v>
      </c>
      <c r="Y45" s="34">
        <f t="shared" si="22"/>
        <v>0</v>
      </c>
      <c r="Z45" s="34">
        <f t="shared" si="22"/>
        <v>0</v>
      </c>
      <c r="AA45" s="34">
        <f t="shared" si="22"/>
        <v>0</v>
      </c>
      <c r="AB45" s="34">
        <f t="shared" si="22"/>
        <v>0</v>
      </c>
      <c r="AC45" s="34">
        <f t="shared" si="22"/>
        <v>0</v>
      </c>
      <c r="AD45" s="34">
        <f t="shared" si="22"/>
        <v>0</v>
      </c>
      <c r="AE45" s="34">
        <f t="shared" si="22"/>
        <v>0</v>
      </c>
      <c r="AF45" s="34">
        <f t="shared" si="22"/>
        <v>0</v>
      </c>
      <c r="AG45" s="34">
        <f t="shared" si="22"/>
        <v>0</v>
      </c>
      <c r="AH45" s="34">
        <f t="shared" si="22"/>
        <v>0</v>
      </c>
      <c r="AI45" s="34">
        <f t="shared" si="22"/>
        <v>0</v>
      </c>
      <c r="AJ45" s="34">
        <f t="shared" si="22"/>
        <v>0</v>
      </c>
      <c r="AK45" s="34">
        <f t="shared" si="22"/>
        <v>0</v>
      </c>
      <c r="AL45" s="34">
        <f t="shared" si="22"/>
        <v>0</v>
      </c>
      <c r="AM45" s="34">
        <f t="shared" si="22"/>
        <v>0</v>
      </c>
      <c r="AN45" s="34">
        <f t="shared" si="22"/>
        <v>0</v>
      </c>
      <c r="AO45" s="34">
        <f t="shared" si="22"/>
        <v>0</v>
      </c>
      <c r="AP45" s="34">
        <f t="shared" si="22"/>
        <v>0</v>
      </c>
      <c r="AQ45" s="34">
        <f t="shared" si="22"/>
        <v>0</v>
      </c>
      <c r="AR45" s="34">
        <f t="shared" si="22"/>
        <v>0</v>
      </c>
      <c r="AS45" s="34">
        <f t="shared" si="22"/>
        <v>0</v>
      </c>
    </row>
    <row r="46" spans="2:1006" outlineLevel="1" x14ac:dyDescent="0.35">
      <c r="C46" s="33" t="s">
        <v>155</v>
      </c>
      <c r="E46" s="33" t="s">
        <v>90</v>
      </c>
      <c r="I46" s="21">
        <f t="shared" si="21"/>
        <v>165404775.68356684</v>
      </c>
      <c r="J46" s="34">
        <f>J12</f>
        <v>0</v>
      </c>
      <c r="K46" s="34">
        <f t="shared" ref="K46:AS46" si="23">K12</f>
        <v>5023375</v>
      </c>
      <c r="L46" s="34">
        <f t="shared" si="23"/>
        <v>4971483.125</v>
      </c>
      <c r="M46" s="34">
        <f t="shared" si="23"/>
        <v>4919315.2093749996</v>
      </c>
      <c r="N46" s="34">
        <f t="shared" si="23"/>
        <v>4866861.9233281258</v>
      </c>
      <c r="O46" s="34">
        <f t="shared" si="23"/>
        <v>4814113.7695114845</v>
      </c>
      <c r="P46" s="34">
        <f t="shared" si="23"/>
        <v>4761061.079579927</v>
      </c>
      <c r="Q46" s="34">
        <f t="shared" si="23"/>
        <v>4707694.0106763486</v>
      </c>
      <c r="R46" s="34">
        <f t="shared" si="23"/>
        <v>4654002.5418471722</v>
      </c>
      <c r="S46" s="34">
        <f t="shared" si="23"/>
        <v>4599976.4703866262</v>
      </c>
      <c r="T46" s="34">
        <f t="shared" si="23"/>
        <v>4545605.4081083573</v>
      </c>
      <c r="U46" s="34">
        <f t="shared" si="23"/>
        <v>4490878.7775429534</v>
      </c>
      <c r="V46" s="34">
        <f t="shared" si="23"/>
        <v>4435785.8080598786</v>
      </c>
      <c r="W46" s="34">
        <f t="shared" si="23"/>
        <v>4380315.5319123119</v>
      </c>
      <c r="X46" s="34">
        <f t="shared" si="23"/>
        <v>4324456.7802033387</v>
      </c>
      <c r="Y46" s="34">
        <f t="shared" si="23"/>
        <v>4268198.1787719224</v>
      </c>
      <c r="Z46" s="34">
        <f t="shared" si="23"/>
        <v>4211528.1439970536</v>
      </c>
      <c r="AA46" s="34">
        <f t="shared" si="23"/>
        <v>4154434.8785184389</v>
      </c>
      <c r="AB46" s="34">
        <f t="shared" si="23"/>
        <v>4096906.3668720461</v>
      </c>
      <c r="AC46" s="34">
        <f t="shared" si="23"/>
        <v>4038930.3710388094</v>
      </c>
      <c r="AD46" s="34">
        <f t="shared" si="23"/>
        <v>3980494.4259047606</v>
      </c>
      <c r="AE46" s="34">
        <f t="shared" si="23"/>
        <v>5496738.8334089816</v>
      </c>
      <c r="AF46" s="34">
        <f t="shared" si="23"/>
        <v>5429468.8977146167</v>
      </c>
      <c r="AG46" s="34">
        <f t="shared" si="23"/>
        <v>5361739.5868681762</v>
      </c>
      <c r="AH46" s="34">
        <f t="shared" si="23"/>
        <v>5293537.283248811</v>
      </c>
      <c r="AI46" s="34">
        <f t="shared" si="23"/>
        <v>5224848.1190338433</v>
      </c>
      <c r="AJ46" s="34">
        <f t="shared" si="23"/>
        <v>5155657.9710839754</v>
      </c>
      <c r="AK46" s="34">
        <f t="shared" si="23"/>
        <v>5085952.4557267623</v>
      </c>
      <c r="AL46" s="34">
        <f t="shared" si="23"/>
        <v>5015716.9234362999</v>
      </c>
      <c r="AM46" s="34">
        <f t="shared" si="23"/>
        <v>4944936.453407052</v>
      </c>
      <c r="AN46" s="34">
        <f t="shared" si="23"/>
        <v>4873595.8480197098</v>
      </c>
      <c r="AO46" s="34">
        <f t="shared" si="23"/>
        <v>4801679.6271968987</v>
      </c>
      <c r="AP46" s="34">
        <f t="shared" si="23"/>
        <v>4729172.0226465464</v>
      </c>
      <c r="AQ46" s="34">
        <f t="shared" si="23"/>
        <v>4656056.9719906589</v>
      </c>
      <c r="AR46" s="34">
        <f t="shared" si="23"/>
        <v>4582318.1127771977</v>
      </c>
      <c r="AS46" s="34">
        <f t="shared" si="23"/>
        <v>4507938.7763727345</v>
      </c>
    </row>
    <row r="47" spans="2:1006" outlineLevel="1" x14ac:dyDescent="0.35">
      <c r="C47" s="33" t="s">
        <v>156</v>
      </c>
      <c r="E47" s="33" t="s">
        <v>90</v>
      </c>
      <c r="I47" s="21">
        <f t="shared" si="21"/>
        <v>13379824.401798973</v>
      </c>
      <c r="J47" s="34">
        <f>J37</f>
        <v>0</v>
      </c>
      <c r="K47" s="34">
        <f t="shared" ref="K47:AS47" si="24">K37</f>
        <v>1004675</v>
      </c>
      <c r="L47" s="34">
        <f t="shared" si="24"/>
        <v>994296.625</v>
      </c>
      <c r="M47" s="34">
        <f t="shared" si="24"/>
        <v>983863.041875</v>
      </c>
      <c r="N47" s="34">
        <f t="shared" si="24"/>
        <v>973372.38466562517</v>
      </c>
      <c r="O47" s="34">
        <f t="shared" si="24"/>
        <v>962822.753902297</v>
      </c>
      <c r="P47" s="34">
        <f t="shared" si="24"/>
        <v>952212.21591598541</v>
      </c>
      <c r="Q47" s="34">
        <f t="shared" si="24"/>
        <v>941538.80213526974</v>
      </c>
      <c r="R47" s="34">
        <f t="shared" si="24"/>
        <v>232700.12709235863</v>
      </c>
      <c r="S47" s="34">
        <f t="shared" si="24"/>
        <v>229998.82351933132</v>
      </c>
      <c r="T47" s="34">
        <f t="shared" si="24"/>
        <v>227280.27040541789</v>
      </c>
      <c r="U47" s="34">
        <f t="shared" si="24"/>
        <v>224543.93887714768</v>
      </c>
      <c r="V47" s="34">
        <f t="shared" si="24"/>
        <v>221789.29040299394</v>
      </c>
      <c r="W47" s="34">
        <f t="shared" si="24"/>
        <v>219015.77659561561</v>
      </c>
      <c r="X47" s="34">
        <f t="shared" si="24"/>
        <v>216222.83901016694</v>
      </c>
      <c r="Y47" s="34">
        <f t="shared" si="24"/>
        <v>213409.90893859614</v>
      </c>
      <c r="Z47" s="34">
        <f t="shared" si="24"/>
        <v>210576.40719985269</v>
      </c>
      <c r="AA47" s="34">
        <f t="shared" si="24"/>
        <v>207721.74392592197</v>
      </c>
      <c r="AB47" s="34">
        <f t="shared" si="24"/>
        <v>204845.31834360232</v>
      </c>
      <c r="AC47" s="34">
        <f t="shared" si="24"/>
        <v>201946.51855194048</v>
      </c>
      <c r="AD47" s="34">
        <f t="shared" si="24"/>
        <v>199024.72129523804</v>
      </c>
      <c r="AE47" s="34">
        <f t="shared" si="24"/>
        <v>274836.9416704491</v>
      </c>
      <c r="AF47" s="34">
        <f t="shared" si="24"/>
        <v>271473.44488573086</v>
      </c>
      <c r="AG47" s="34">
        <f t="shared" si="24"/>
        <v>268086.97934340884</v>
      </c>
      <c r="AH47" s="34">
        <f t="shared" si="24"/>
        <v>264676.86416244059</v>
      </c>
      <c r="AI47" s="34">
        <f t="shared" si="24"/>
        <v>261242.40595169217</v>
      </c>
      <c r="AJ47" s="34">
        <f t="shared" si="24"/>
        <v>257782.89855419879</v>
      </c>
      <c r="AK47" s="34">
        <f t="shared" si="24"/>
        <v>254297.62278633812</v>
      </c>
      <c r="AL47" s="34">
        <f t="shared" si="24"/>
        <v>250785.84617181501</v>
      </c>
      <c r="AM47" s="34">
        <f t="shared" si="24"/>
        <v>247246.82267035262</v>
      </c>
      <c r="AN47" s="34">
        <f t="shared" si="24"/>
        <v>243679.79240098549</v>
      </c>
      <c r="AO47" s="34">
        <f t="shared" si="24"/>
        <v>240083.98135984494</v>
      </c>
      <c r="AP47" s="34">
        <f t="shared" si="24"/>
        <v>236458.60113232734</v>
      </c>
      <c r="AQ47" s="34">
        <f t="shared" si="24"/>
        <v>232802.84859953297</v>
      </c>
      <c r="AR47" s="34">
        <f t="shared" si="24"/>
        <v>229115.9056388599</v>
      </c>
      <c r="AS47" s="34">
        <f t="shared" si="24"/>
        <v>225396.93881863673</v>
      </c>
    </row>
    <row r="48" spans="2:1006" outlineLevel="1" x14ac:dyDescent="0.35">
      <c r="C48" s="33" t="s">
        <v>157</v>
      </c>
      <c r="E48" s="33" t="s">
        <v>90</v>
      </c>
      <c r="I48" s="21">
        <f t="shared" si="21"/>
        <v>152024951.28176785</v>
      </c>
      <c r="J48" s="34">
        <f>J46-J47</f>
        <v>0</v>
      </c>
      <c r="K48" s="34">
        <f t="shared" ref="K48:AS48" si="25">K46-K47</f>
        <v>4018700</v>
      </c>
      <c r="L48" s="34">
        <f t="shared" si="25"/>
        <v>3977186.5</v>
      </c>
      <c r="M48" s="34">
        <f t="shared" si="25"/>
        <v>3935452.1674999995</v>
      </c>
      <c r="N48" s="34">
        <f t="shared" si="25"/>
        <v>3893489.5386625007</v>
      </c>
      <c r="O48" s="34">
        <f t="shared" si="25"/>
        <v>3851291.0156091875</v>
      </c>
      <c r="P48" s="34">
        <f t="shared" si="25"/>
        <v>3808848.8636639416</v>
      </c>
      <c r="Q48" s="34">
        <f t="shared" si="25"/>
        <v>3766155.208541079</v>
      </c>
      <c r="R48" s="34">
        <f t="shared" si="25"/>
        <v>4421302.4147548135</v>
      </c>
      <c r="S48" s="34">
        <f t="shared" si="25"/>
        <v>4369977.6468672948</v>
      </c>
      <c r="T48" s="34">
        <f t="shared" si="25"/>
        <v>4318325.1377029391</v>
      </c>
      <c r="U48" s="34">
        <f t="shared" si="25"/>
        <v>4266334.8386658058</v>
      </c>
      <c r="V48" s="34">
        <f t="shared" si="25"/>
        <v>4213996.5176568851</v>
      </c>
      <c r="W48" s="34">
        <f t="shared" si="25"/>
        <v>4161299.7553166961</v>
      </c>
      <c r="X48" s="34">
        <f t="shared" si="25"/>
        <v>4108233.9411931718</v>
      </c>
      <c r="Y48" s="34">
        <f t="shared" si="25"/>
        <v>4054788.2698333263</v>
      </c>
      <c r="Z48" s="34">
        <f t="shared" si="25"/>
        <v>4000951.736797201</v>
      </c>
      <c r="AA48" s="34">
        <f t="shared" si="25"/>
        <v>3946713.1345925168</v>
      </c>
      <c r="AB48" s="34">
        <f t="shared" si="25"/>
        <v>3892061.048528444</v>
      </c>
      <c r="AC48" s="34">
        <f t="shared" si="25"/>
        <v>3836983.8524868689</v>
      </c>
      <c r="AD48" s="34">
        <f t="shared" si="25"/>
        <v>3781469.7046095226</v>
      </c>
      <c r="AE48" s="34">
        <f t="shared" si="25"/>
        <v>5221901.8917385321</v>
      </c>
      <c r="AF48" s="34">
        <f t="shared" si="25"/>
        <v>5157995.452828886</v>
      </c>
      <c r="AG48" s="34">
        <f t="shared" si="25"/>
        <v>5093652.6075247675</v>
      </c>
      <c r="AH48" s="34">
        <f t="shared" si="25"/>
        <v>5028860.4190863706</v>
      </c>
      <c r="AI48" s="34">
        <f t="shared" si="25"/>
        <v>4963605.7130821515</v>
      </c>
      <c r="AJ48" s="34">
        <f t="shared" si="25"/>
        <v>4897875.072529777</v>
      </c>
      <c r="AK48" s="34">
        <f t="shared" si="25"/>
        <v>4831654.8329404239</v>
      </c>
      <c r="AL48" s="34">
        <f t="shared" si="25"/>
        <v>4764931.0772644849</v>
      </c>
      <c r="AM48" s="34">
        <f t="shared" si="25"/>
        <v>4697689.6307366993</v>
      </c>
      <c r="AN48" s="34">
        <f t="shared" si="25"/>
        <v>4629916.0556187239</v>
      </c>
      <c r="AO48" s="34">
        <f t="shared" si="25"/>
        <v>4561595.6458370537</v>
      </c>
      <c r="AP48" s="34">
        <f t="shared" si="25"/>
        <v>4492713.4215142187</v>
      </c>
      <c r="AQ48" s="34">
        <f t="shared" si="25"/>
        <v>4423254.1233911263</v>
      </c>
      <c r="AR48" s="34">
        <f t="shared" si="25"/>
        <v>4353202.2071383381</v>
      </c>
      <c r="AS48" s="34">
        <f t="shared" si="25"/>
        <v>4282541.8375540981</v>
      </c>
    </row>
    <row r="49" spans="2:1006" outlineLevel="1" x14ac:dyDescent="0.35">
      <c r="C49" s="33" t="s">
        <v>158</v>
      </c>
      <c r="E49" s="33" t="s">
        <v>90</v>
      </c>
      <c r="I49" s="21">
        <f t="shared" si="21"/>
        <v>91924951.28176783</v>
      </c>
      <c r="J49" s="34">
        <f>J48-J45</f>
        <v>-60100000</v>
      </c>
      <c r="K49" s="34">
        <f t="shared" ref="K49:AS49" si="26">K48-K45</f>
        <v>4018700</v>
      </c>
      <c r="L49" s="34">
        <f t="shared" si="26"/>
        <v>3977186.5</v>
      </c>
      <c r="M49" s="34">
        <f t="shared" si="26"/>
        <v>3935452.1674999995</v>
      </c>
      <c r="N49" s="34">
        <f t="shared" si="26"/>
        <v>3893489.5386625007</v>
      </c>
      <c r="O49" s="34">
        <f t="shared" si="26"/>
        <v>3851291.0156091875</v>
      </c>
      <c r="P49" s="34">
        <f t="shared" si="26"/>
        <v>3808848.8636639416</v>
      </c>
      <c r="Q49" s="34">
        <f t="shared" si="26"/>
        <v>3766155.208541079</v>
      </c>
      <c r="R49" s="34">
        <f t="shared" si="26"/>
        <v>4421302.4147548135</v>
      </c>
      <c r="S49" s="34">
        <f t="shared" si="26"/>
        <v>4369977.6468672948</v>
      </c>
      <c r="T49" s="34">
        <f t="shared" si="26"/>
        <v>4318325.1377029391</v>
      </c>
      <c r="U49" s="34">
        <f t="shared" si="26"/>
        <v>4266334.8386658058</v>
      </c>
      <c r="V49" s="34">
        <f t="shared" si="26"/>
        <v>4213996.5176568851</v>
      </c>
      <c r="W49" s="34">
        <f t="shared" si="26"/>
        <v>4161299.7553166961</v>
      </c>
      <c r="X49" s="34">
        <f t="shared" si="26"/>
        <v>4108233.9411931718</v>
      </c>
      <c r="Y49" s="34">
        <f t="shared" si="26"/>
        <v>4054788.2698333263</v>
      </c>
      <c r="Z49" s="34">
        <f t="shared" si="26"/>
        <v>4000951.736797201</v>
      </c>
      <c r="AA49" s="34">
        <f t="shared" si="26"/>
        <v>3946713.1345925168</v>
      </c>
      <c r="AB49" s="34">
        <f t="shared" si="26"/>
        <v>3892061.048528444</v>
      </c>
      <c r="AC49" s="34">
        <f t="shared" si="26"/>
        <v>3836983.8524868689</v>
      </c>
      <c r="AD49" s="34">
        <f t="shared" si="26"/>
        <v>3781469.7046095226</v>
      </c>
      <c r="AE49" s="34">
        <f t="shared" si="26"/>
        <v>5221901.8917385321</v>
      </c>
      <c r="AF49" s="34">
        <f t="shared" si="26"/>
        <v>5157995.452828886</v>
      </c>
      <c r="AG49" s="34">
        <f t="shared" si="26"/>
        <v>5093652.6075247675</v>
      </c>
      <c r="AH49" s="34">
        <f t="shared" si="26"/>
        <v>5028860.4190863706</v>
      </c>
      <c r="AI49" s="34">
        <f t="shared" si="26"/>
        <v>4963605.7130821515</v>
      </c>
      <c r="AJ49" s="34">
        <f t="shared" si="26"/>
        <v>4897875.072529777</v>
      </c>
      <c r="AK49" s="34">
        <f t="shared" si="26"/>
        <v>4831654.8329404239</v>
      </c>
      <c r="AL49" s="34">
        <f t="shared" si="26"/>
        <v>4764931.0772644849</v>
      </c>
      <c r="AM49" s="34">
        <f t="shared" si="26"/>
        <v>4697689.6307366993</v>
      </c>
      <c r="AN49" s="34">
        <f t="shared" si="26"/>
        <v>4629916.0556187239</v>
      </c>
      <c r="AO49" s="34">
        <f t="shared" si="26"/>
        <v>4561595.6458370537</v>
      </c>
      <c r="AP49" s="34">
        <f t="shared" si="26"/>
        <v>4492713.4215142187</v>
      </c>
      <c r="AQ49" s="34">
        <f t="shared" si="26"/>
        <v>4423254.1233911263</v>
      </c>
      <c r="AR49" s="34">
        <f t="shared" si="26"/>
        <v>4353202.2071383381</v>
      </c>
      <c r="AS49" s="34">
        <f t="shared" si="26"/>
        <v>4282541.8375540981</v>
      </c>
    </row>
    <row r="50" spans="2:1006" outlineLevel="1" x14ac:dyDescent="0.35">
      <c r="C50" s="33" t="s">
        <v>159</v>
      </c>
      <c r="E50" s="33" t="s">
        <v>60</v>
      </c>
      <c r="F50" s="38">
        <f>IRR(J49:AS49)</f>
        <v>6.1009818448656272E-2</v>
      </c>
    </row>
    <row r="51" spans="2:1006" outlineLevel="1" x14ac:dyDescent="0.35"/>
    <row r="52" spans="2:1006" outlineLevel="1" x14ac:dyDescent="0.35">
      <c r="C52" s="33" t="s">
        <v>161</v>
      </c>
      <c r="E52" s="33" t="s">
        <v>90</v>
      </c>
      <c r="I52" s="21">
        <f t="shared" ref="I52:I57" si="27">SUM(J52:XFD52)</f>
        <v>79654775.683566839</v>
      </c>
      <c r="J52" s="34">
        <f>J12-J15</f>
        <v>0</v>
      </c>
      <c r="K52" s="34">
        <f t="shared" ref="K52:AS52" si="28">K12-K15</f>
        <v>-27609958.333333332</v>
      </c>
      <c r="L52" s="34">
        <f t="shared" si="28"/>
        <v>-14741850.208333332</v>
      </c>
      <c r="M52" s="34">
        <f t="shared" si="28"/>
        <v>-7042018.1239583343</v>
      </c>
      <c r="N52" s="34">
        <f t="shared" si="28"/>
        <v>-4187471.4100052081</v>
      </c>
      <c r="O52" s="34">
        <f t="shared" si="28"/>
        <v>-4240219.5638218494</v>
      </c>
      <c r="P52" s="34">
        <f t="shared" si="28"/>
        <v>4427727.746246594</v>
      </c>
      <c r="Q52" s="34">
        <f t="shared" si="28"/>
        <v>4374360.6773430156</v>
      </c>
      <c r="R52" s="34">
        <f t="shared" si="28"/>
        <v>4320669.2085138392</v>
      </c>
      <c r="S52" s="34">
        <f t="shared" si="28"/>
        <v>4266643.1370532932</v>
      </c>
      <c r="T52" s="34">
        <f t="shared" si="28"/>
        <v>4212272.0747750243</v>
      </c>
      <c r="U52" s="34">
        <f t="shared" si="28"/>
        <v>4157545.4442096199</v>
      </c>
      <c r="V52" s="34">
        <f t="shared" si="28"/>
        <v>4102452.4747265452</v>
      </c>
      <c r="W52" s="34">
        <f t="shared" si="28"/>
        <v>4046982.1985789784</v>
      </c>
      <c r="X52" s="34">
        <f t="shared" si="28"/>
        <v>3991123.4468700052</v>
      </c>
      <c r="Y52" s="34">
        <f t="shared" si="28"/>
        <v>3934864.8454385889</v>
      </c>
      <c r="Z52" s="34">
        <f t="shared" si="28"/>
        <v>4211528.1439970536</v>
      </c>
      <c r="AA52" s="34">
        <f t="shared" si="28"/>
        <v>4154434.8785184389</v>
      </c>
      <c r="AB52" s="34">
        <f t="shared" si="28"/>
        <v>4096906.3668720461</v>
      </c>
      <c r="AC52" s="34">
        <f t="shared" si="28"/>
        <v>4038930.3710388094</v>
      </c>
      <c r="AD52" s="34">
        <f t="shared" si="28"/>
        <v>3980494.4259047606</v>
      </c>
      <c r="AE52" s="34">
        <f t="shared" si="28"/>
        <v>5496738.8334089816</v>
      </c>
      <c r="AF52" s="34">
        <f t="shared" si="28"/>
        <v>5429468.8977146167</v>
      </c>
      <c r="AG52" s="34">
        <f t="shared" si="28"/>
        <v>5361739.5868681762</v>
      </c>
      <c r="AH52" s="34">
        <f t="shared" si="28"/>
        <v>5293537.283248811</v>
      </c>
      <c r="AI52" s="34">
        <f t="shared" si="28"/>
        <v>5224848.1190338433</v>
      </c>
      <c r="AJ52" s="34">
        <f t="shared" si="28"/>
        <v>5155657.9710839754</v>
      </c>
      <c r="AK52" s="34">
        <f t="shared" si="28"/>
        <v>5085952.4557267623</v>
      </c>
      <c r="AL52" s="34">
        <f t="shared" si="28"/>
        <v>5015716.9234362999</v>
      </c>
      <c r="AM52" s="34">
        <f t="shared" si="28"/>
        <v>4944936.453407052</v>
      </c>
      <c r="AN52" s="34">
        <f t="shared" si="28"/>
        <v>4873595.8480197098</v>
      </c>
      <c r="AO52" s="34">
        <f t="shared" si="28"/>
        <v>4801679.6271968987</v>
      </c>
      <c r="AP52" s="34">
        <f t="shared" si="28"/>
        <v>4729172.0226465464</v>
      </c>
      <c r="AQ52" s="34">
        <f t="shared" si="28"/>
        <v>4656056.9719906589</v>
      </c>
      <c r="AR52" s="34">
        <f t="shared" si="28"/>
        <v>4582318.1127771977</v>
      </c>
      <c r="AS52" s="34">
        <f t="shared" si="28"/>
        <v>4507938.7763727345</v>
      </c>
    </row>
    <row r="53" spans="2:1006" outlineLevel="1" x14ac:dyDescent="0.35">
      <c r="C53" s="33" t="s">
        <v>162</v>
      </c>
      <c r="E53" s="33" t="s">
        <v>90</v>
      </c>
      <c r="I53" s="21">
        <f t="shared" si="27"/>
        <v>-47242492.874709539</v>
      </c>
      <c r="J53" s="34">
        <f>J31</f>
        <v>0</v>
      </c>
      <c r="K53" s="34">
        <f t="shared" ref="K53:AS53" si="29">K31</f>
        <v>-27333858.75</v>
      </c>
      <c r="L53" s="34">
        <f t="shared" si="29"/>
        <v>-14594431.706249999</v>
      </c>
      <c r="M53" s="34">
        <f t="shared" si="29"/>
        <v>-6971597.9427187508</v>
      </c>
      <c r="N53" s="34">
        <f t="shared" si="29"/>
        <v>-4145596.695905156</v>
      </c>
      <c r="O53" s="34">
        <f t="shared" si="29"/>
        <v>-4197817.3681836305</v>
      </c>
      <c r="P53" s="34">
        <f t="shared" si="29"/>
        <v>4383450.4687841283</v>
      </c>
      <c r="Q53" s="34">
        <f t="shared" si="29"/>
        <v>4330617.0705695851</v>
      </c>
      <c r="R53" s="34">
        <f t="shared" si="29"/>
        <v>43206.692085138391</v>
      </c>
      <c r="S53" s="34">
        <f t="shared" si="29"/>
        <v>42666.431370532933</v>
      </c>
      <c r="T53" s="34">
        <f t="shared" si="29"/>
        <v>42122.720747750245</v>
      </c>
      <c r="U53" s="34">
        <f t="shared" si="29"/>
        <v>41575.454442096197</v>
      </c>
      <c r="V53" s="34">
        <f t="shared" si="29"/>
        <v>41024.524747265452</v>
      </c>
      <c r="W53" s="34">
        <f t="shared" si="29"/>
        <v>40469.821985789786</v>
      </c>
      <c r="X53" s="34">
        <f t="shared" si="29"/>
        <v>39911.234468700051</v>
      </c>
      <c r="Y53" s="34">
        <f t="shared" si="29"/>
        <v>39348.64845438589</v>
      </c>
      <c r="Z53" s="34">
        <f t="shared" si="29"/>
        <v>42115.281439970538</v>
      </c>
      <c r="AA53" s="34">
        <f t="shared" si="29"/>
        <v>41544.348785184389</v>
      </c>
      <c r="AB53" s="34">
        <f t="shared" si="29"/>
        <v>40969.063668720461</v>
      </c>
      <c r="AC53" s="34">
        <f t="shared" si="29"/>
        <v>40389.303710388092</v>
      </c>
      <c r="AD53" s="34">
        <f t="shared" si="29"/>
        <v>39804.94425904761</v>
      </c>
      <c r="AE53" s="34">
        <f t="shared" si="29"/>
        <v>54967.388334089817</v>
      </c>
      <c r="AF53" s="34">
        <f t="shared" si="29"/>
        <v>54294.688977146172</v>
      </c>
      <c r="AG53" s="34">
        <f t="shared" si="29"/>
        <v>53617.395868681764</v>
      </c>
      <c r="AH53" s="34">
        <f t="shared" si="29"/>
        <v>52935.372832488109</v>
      </c>
      <c r="AI53" s="34">
        <f t="shared" si="29"/>
        <v>52248.481190338432</v>
      </c>
      <c r="AJ53" s="34">
        <f t="shared" si="29"/>
        <v>51556.579710839753</v>
      </c>
      <c r="AK53" s="34">
        <f t="shared" si="29"/>
        <v>50859.524557267621</v>
      </c>
      <c r="AL53" s="34">
        <f t="shared" si="29"/>
        <v>50157.169234362998</v>
      </c>
      <c r="AM53" s="34">
        <f t="shared" si="29"/>
        <v>49449.364534070519</v>
      </c>
      <c r="AN53" s="34">
        <f t="shared" si="29"/>
        <v>48735.9584801971</v>
      </c>
      <c r="AO53" s="34">
        <f t="shared" si="29"/>
        <v>48016.796271968989</v>
      </c>
      <c r="AP53" s="34">
        <f t="shared" si="29"/>
        <v>47291.720226465462</v>
      </c>
      <c r="AQ53" s="34">
        <f t="shared" si="29"/>
        <v>46560.569719906591</v>
      </c>
      <c r="AR53" s="34">
        <f t="shared" si="29"/>
        <v>45823.181127771975</v>
      </c>
      <c r="AS53" s="34">
        <f t="shared" si="29"/>
        <v>45079.387763727347</v>
      </c>
    </row>
    <row r="54" spans="2:1006" outlineLevel="1" x14ac:dyDescent="0.35">
      <c r="C54" s="33" t="s">
        <v>163</v>
      </c>
      <c r="E54" s="33" t="s">
        <v>90</v>
      </c>
      <c r="I54" s="21">
        <f t="shared" si="27"/>
        <v>126897268.55827636</v>
      </c>
      <c r="J54" s="34">
        <f>J52-J53</f>
        <v>0</v>
      </c>
      <c r="K54" s="34">
        <f t="shared" ref="K54:AS54" si="30">K52-K53</f>
        <v>-276099.58333333209</v>
      </c>
      <c r="L54" s="34">
        <f t="shared" si="30"/>
        <v>-147418.50208333321</v>
      </c>
      <c r="M54" s="34">
        <f t="shared" si="30"/>
        <v>-70420.18123958353</v>
      </c>
      <c r="N54" s="34">
        <f t="shared" si="30"/>
        <v>-41874.714100052137</v>
      </c>
      <c r="O54" s="34">
        <f t="shared" si="30"/>
        <v>-42402.195638218895</v>
      </c>
      <c r="P54" s="34">
        <f t="shared" si="30"/>
        <v>44277.277462465689</v>
      </c>
      <c r="Q54" s="34">
        <f t="shared" si="30"/>
        <v>43743.606773430482</v>
      </c>
      <c r="R54" s="34">
        <f t="shared" si="30"/>
        <v>4277462.5164287006</v>
      </c>
      <c r="S54" s="34">
        <f t="shared" si="30"/>
        <v>4223976.7056827601</v>
      </c>
      <c r="T54" s="34">
        <f t="shared" si="30"/>
        <v>4170149.3540272741</v>
      </c>
      <c r="U54" s="34">
        <f t="shared" si="30"/>
        <v>4115969.9897675235</v>
      </c>
      <c r="V54" s="34">
        <f t="shared" si="30"/>
        <v>4061427.9499792797</v>
      </c>
      <c r="W54" s="34">
        <f t="shared" si="30"/>
        <v>4006512.3765931888</v>
      </c>
      <c r="X54" s="34">
        <f t="shared" si="30"/>
        <v>3951212.2124013053</v>
      </c>
      <c r="Y54" s="34">
        <f t="shared" si="30"/>
        <v>3895516.1969842031</v>
      </c>
      <c r="Z54" s="34">
        <f t="shared" si="30"/>
        <v>4169412.8625570829</v>
      </c>
      <c r="AA54" s="34">
        <f t="shared" si="30"/>
        <v>4112890.5297332546</v>
      </c>
      <c r="AB54" s="34">
        <f t="shared" si="30"/>
        <v>4055937.3032033257</v>
      </c>
      <c r="AC54" s="34">
        <f t="shared" si="30"/>
        <v>3998541.0673284214</v>
      </c>
      <c r="AD54" s="34">
        <f t="shared" si="30"/>
        <v>3940689.4816457131</v>
      </c>
      <c r="AE54" s="34">
        <f t="shared" si="30"/>
        <v>5441771.4450748917</v>
      </c>
      <c r="AF54" s="34">
        <f t="shared" si="30"/>
        <v>5375174.2087374702</v>
      </c>
      <c r="AG54" s="34">
        <f t="shared" si="30"/>
        <v>5308122.1909994949</v>
      </c>
      <c r="AH54" s="34">
        <f t="shared" si="30"/>
        <v>5240601.9104163228</v>
      </c>
      <c r="AI54" s="34">
        <f t="shared" si="30"/>
        <v>5172599.6378435045</v>
      </c>
      <c r="AJ54" s="34">
        <f t="shared" si="30"/>
        <v>5104101.3913731361</v>
      </c>
      <c r="AK54" s="34">
        <f t="shared" si="30"/>
        <v>5035092.931169495</v>
      </c>
      <c r="AL54" s="34">
        <f t="shared" si="30"/>
        <v>4965559.7542019365</v>
      </c>
      <c r="AM54" s="34">
        <f t="shared" si="30"/>
        <v>4895487.0888729813</v>
      </c>
      <c r="AN54" s="34">
        <f t="shared" si="30"/>
        <v>4824859.8895395128</v>
      </c>
      <c r="AO54" s="34">
        <f t="shared" si="30"/>
        <v>4753662.8309249301</v>
      </c>
      <c r="AP54" s="34">
        <f t="shared" si="30"/>
        <v>4681880.3024200806</v>
      </c>
      <c r="AQ54" s="34">
        <f t="shared" si="30"/>
        <v>4609496.402270752</v>
      </c>
      <c r="AR54" s="34">
        <f t="shared" si="30"/>
        <v>4536494.931649426</v>
      </c>
      <c r="AS54" s="34">
        <f t="shared" si="30"/>
        <v>4462859.388609007</v>
      </c>
    </row>
    <row r="55" spans="2:1006" outlineLevel="1" x14ac:dyDescent="0.35">
      <c r="C55" s="33" t="s">
        <v>164</v>
      </c>
      <c r="E55" s="33" t="s">
        <v>90</v>
      </c>
      <c r="F55" s="33" t="s">
        <v>60</v>
      </c>
      <c r="G55" s="27">
        <f>Inputs!F30</f>
        <v>0.21</v>
      </c>
      <c r="I55" s="21">
        <f t="shared" si="27"/>
        <v>26648426.397238035</v>
      </c>
      <c r="J55" s="34">
        <f>$G$55*J54</f>
        <v>0</v>
      </c>
      <c r="K55" s="34">
        <f t="shared" ref="K55:AS55" si="31">$G$55*K54</f>
        <v>-57980.912499999737</v>
      </c>
      <c r="L55" s="34">
        <f t="shared" si="31"/>
        <v>-30957.885437499972</v>
      </c>
      <c r="M55" s="34">
        <f t="shared" si="31"/>
        <v>-14788.23806031254</v>
      </c>
      <c r="N55" s="34">
        <f t="shared" si="31"/>
        <v>-8793.6899610109485</v>
      </c>
      <c r="O55" s="34">
        <f t="shared" si="31"/>
        <v>-8904.4610840259684</v>
      </c>
      <c r="P55" s="34">
        <f t="shared" si="31"/>
        <v>9298.2282671177945</v>
      </c>
      <c r="Q55" s="34">
        <f t="shared" si="31"/>
        <v>9186.1574224204014</v>
      </c>
      <c r="R55" s="34">
        <f t="shared" si="31"/>
        <v>898267.12845002708</v>
      </c>
      <c r="S55" s="34">
        <f t="shared" si="31"/>
        <v>887035.10819337959</v>
      </c>
      <c r="T55" s="34">
        <f t="shared" si="31"/>
        <v>875731.36434572749</v>
      </c>
      <c r="U55" s="34">
        <f t="shared" si="31"/>
        <v>864353.69785117987</v>
      </c>
      <c r="V55" s="34">
        <f t="shared" si="31"/>
        <v>852899.86949564866</v>
      </c>
      <c r="W55" s="34">
        <f t="shared" si="31"/>
        <v>841367.59908456961</v>
      </c>
      <c r="X55" s="34">
        <f t="shared" si="31"/>
        <v>829754.56460427411</v>
      </c>
      <c r="Y55" s="34">
        <f t="shared" si="31"/>
        <v>818058.40136668261</v>
      </c>
      <c r="Z55" s="34">
        <f t="shared" si="31"/>
        <v>875576.70113698742</v>
      </c>
      <c r="AA55" s="34">
        <f t="shared" si="31"/>
        <v>863707.0112439834</v>
      </c>
      <c r="AB55" s="34">
        <f t="shared" si="31"/>
        <v>851746.83367269835</v>
      </c>
      <c r="AC55" s="34">
        <f t="shared" si="31"/>
        <v>839693.62413896841</v>
      </c>
      <c r="AD55" s="34">
        <f t="shared" si="31"/>
        <v>827544.79114559968</v>
      </c>
      <c r="AE55" s="34">
        <f t="shared" si="31"/>
        <v>1142772.0034657272</v>
      </c>
      <c r="AF55" s="34">
        <f t="shared" si="31"/>
        <v>1128786.5838348686</v>
      </c>
      <c r="AG55" s="34">
        <f t="shared" si="31"/>
        <v>1114705.6601098939</v>
      </c>
      <c r="AH55" s="34">
        <f t="shared" si="31"/>
        <v>1100526.4011874278</v>
      </c>
      <c r="AI55" s="34">
        <f t="shared" si="31"/>
        <v>1086245.9239471359</v>
      </c>
      <c r="AJ55" s="34">
        <f t="shared" si="31"/>
        <v>1071861.2921883585</v>
      </c>
      <c r="AK55" s="34">
        <f t="shared" si="31"/>
        <v>1057369.5155455938</v>
      </c>
      <c r="AL55" s="34">
        <f t="shared" si="31"/>
        <v>1042767.5483824066</v>
      </c>
      <c r="AM55" s="34">
        <f t="shared" si="31"/>
        <v>1028052.2886633261</v>
      </c>
      <c r="AN55" s="34">
        <f t="shared" si="31"/>
        <v>1013220.5768032976</v>
      </c>
      <c r="AO55" s="34">
        <f t="shared" si="31"/>
        <v>998269.19449423533</v>
      </c>
      <c r="AP55" s="34">
        <f t="shared" si="31"/>
        <v>983194.86350821692</v>
      </c>
      <c r="AQ55" s="34">
        <f t="shared" si="31"/>
        <v>967994.24447685783</v>
      </c>
      <c r="AR55" s="34">
        <f t="shared" si="31"/>
        <v>952663.93564637937</v>
      </c>
      <c r="AS55" s="34">
        <f t="shared" si="31"/>
        <v>937200.47160789149</v>
      </c>
    </row>
    <row r="56" spans="2:1006" outlineLevel="1" x14ac:dyDescent="0.35">
      <c r="C56" s="33" t="s">
        <v>165</v>
      </c>
      <c r="E56" s="33" t="s">
        <v>90</v>
      </c>
      <c r="I56" s="21">
        <f t="shared" si="27"/>
        <v>285000</v>
      </c>
      <c r="J56" s="34">
        <f>J25-J39</f>
        <v>285000</v>
      </c>
    </row>
    <row r="57" spans="2:1006" outlineLevel="1" x14ac:dyDescent="0.35">
      <c r="C57" s="33" t="s">
        <v>166</v>
      </c>
      <c r="E57" s="33" t="s">
        <v>90</v>
      </c>
      <c r="I57" s="21">
        <f t="shared" si="27"/>
        <v>60100000</v>
      </c>
      <c r="J57" s="34">
        <f>J45</f>
        <v>60100000</v>
      </c>
      <c r="K57" s="34">
        <f t="shared" ref="K57:AS57" si="32">K45</f>
        <v>0</v>
      </c>
      <c r="L57" s="34">
        <f t="shared" si="32"/>
        <v>0</v>
      </c>
      <c r="M57" s="34">
        <f t="shared" si="32"/>
        <v>0</v>
      </c>
      <c r="N57" s="34">
        <f t="shared" si="32"/>
        <v>0</v>
      </c>
      <c r="O57" s="34">
        <f t="shared" si="32"/>
        <v>0</v>
      </c>
      <c r="P57" s="34">
        <f t="shared" si="32"/>
        <v>0</v>
      </c>
      <c r="Q57" s="34">
        <f t="shared" si="32"/>
        <v>0</v>
      </c>
      <c r="R57" s="34">
        <f t="shared" si="32"/>
        <v>0</v>
      </c>
      <c r="S57" s="34">
        <f t="shared" si="32"/>
        <v>0</v>
      </c>
      <c r="T57" s="34">
        <f t="shared" si="32"/>
        <v>0</v>
      </c>
      <c r="U57" s="34">
        <f t="shared" si="32"/>
        <v>0</v>
      </c>
      <c r="V57" s="34">
        <f t="shared" si="32"/>
        <v>0</v>
      </c>
      <c r="W57" s="34">
        <f t="shared" si="32"/>
        <v>0</v>
      </c>
      <c r="X57" s="34">
        <f t="shared" si="32"/>
        <v>0</v>
      </c>
      <c r="Y57" s="34">
        <f t="shared" si="32"/>
        <v>0</v>
      </c>
      <c r="Z57" s="34">
        <f t="shared" si="32"/>
        <v>0</v>
      </c>
      <c r="AA57" s="34">
        <f t="shared" si="32"/>
        <v>0</v>
      </c>
      <c r="AB57" s="34">
        <f t="shared" si="32"/>
        <v>0</v>
      </c>
      <c r="AC57" s="34">
        <f t="shared" si="32"/>
        <v>0</v>
      </c>
      <c r="AD57" s="34">
        <f t="shared" si="32"/>
        <v>0</v>
      </c>
      <c r="AE57" s="34">
        <f t="shared" si="32"/>
        <v>0</v>
      </c>
      <c r="AF57" s="34">
        <f t="shared" si="32"/>
        <v>0</v>
      </c>
      <c r="AG57" s="34">
        <f t="shared" si="32"/>
        <v>0</v>
      </c>
      <c r="AH57" s="34">
        <f t="shared" si="32"/>
        <v>0</v>
      </c>
      <c r="AI57" s="34">
        <f t="shared" si="32"/>
        <v>0</v>
      </c>
      <c r="AJ57" s="34">
        <f t="shared" si="32"/>
        <v>0</v>
      </c>
      <c r="AK57" s="34">
        <f t="shared" si="32"/>
        <v>0</v>
      </c>
      <c r="AL57" s="34">
        <f t="shared" si="32"/>
        <v>0</v>
      </c>
      <c r="AM57" s="34">
        <f t="shared" si="32"/>
        <v>0</v>
      </c>
      <c r="AN57" s="34">
        <f t="shared" si="32"/>
        <v>0</v>
      </c>
      <c r="AO57" s="34">
        <f t="shared" si="32"/>
        <v>0</v>
      </c>
      <c r="AP57" s="34">
        <f t="shared" si="32"/>
        <v>0</v>
      </c>
      <c r="AQ57" s="34">
        <f t="shared" si="32"/>
        <v>0</v>
      </c>
      <c r="AR57" s="34">
        <f t="shared" si="32"/>
        <v>0</v>
      </c>
      <c r="AS57" s="34">
        <f t="shared" si="32"/>
        <v>0</v>
      </c>
    </row>
    <row r="58" spans="2:1006" outlineLevel="1" x14ac:dyDescent="0.35">
      <c r="C58" s="33" t="s">
        <v>130</v>
      </c>
      <c r="E58" s="33" t="s">
        <v>90</v>
      </c>
      <c r="J58" s="34">
        <f>J48-J55+J56-J57</f>
        <v>-59815000</v>
      </c>
      <c r="K58" s="34">
        <f t="shared" ref="K58:AS58" si="33">K48-K55+K56-K57</f>
        <v>4076680.9124999996</v>
      </c>
      <c r="L58" s="34">
        <f t="shared" si="33"/>
        <v>4008144.3854375002</v>
      </c>
      <c r="M58" s="34">
        <f t="shared" si="33"/>
        <v>3950240.4055603119</v>
      </c>
      <c r="N58" s="34">
        <f t="shared" si="33"/>
        <v>3902283.2286235117</v>
      </c>
      <c r="O58" s="34">
        <f t="shared" si="33"/>
        <v>3860195.4766932135</v>
      </c>
      <c r="P58" s="34">
        <f t="shared" si="33"/>
        <v>3799550.6353968238</v>
      </c>
      <c r="Q58" s="34">
        <f t="shared" si="33"/>
        <v>3756969.0511186584</v>
      </c>
      <c r="R58" s="34">
        <f t="shared" si="33"/>
        <v>3523035.2863047863</v>
      </c>
      <c r="S58" s="34">
        <f t="shared" si="33"/>
        <v>3482942.538673915</v>
      </c>
      <c r="T58" s="34">
        <f t="shared" si="33"/>
        <v>3442593.7733572116</v>
      </c>
      <c r="U58" s="34">
        <f t="shared" si="33"/>
        <v>3401981.1408146257</v>
      </c>
      <c r="V58" s="34">
        <f t="shared" si="33"/>
        <v>3361096.6481612362</v>
      </c>
      <c r="W58" s="34">
        <f t="shared" si="33"/>
        <v>3319932.1562321265</v>
      </c>
      <c r="X58" s="34">
        <f t="shared" si="33"/>
        <v>3278479.3765888978</v>
      </c>
      <c r="Y58" s="34">
        <f t="shared" si="33"/>
        <v>3236729.8684666436</v>
      </c>
      <c r="Z58" s="34">
        <f t="shared" si="33"/>
        <v>3125375.0356602138</v>
      </c>
      <c r="AA58" s="34">
        <f t="shared" si="33"/>
        <v>3083006.1233485332</v>
      </c>
      <c r="AB58" s="34">
        <f t="shared" si="33"/>
        <v>3040314.2148557454</v>
      </c>
      <c r="AC58" s="34">
        <f t="shared" si="33"/>
        <v>2997290.2283479003</v>
      </c>
      <c r="AD58" s="34">
        <f t="shared" si="33"/>
        <v>2953924.9134639231</v>
      </c>
      <c r="AE58" s="34">
        <f t="shared" si="33"/>
        <v>4079129.8882728051</v>
      </c>
      <c r="AF58" s="34">
        <f t="shared" si="33"/>
        <v>4029208.8689940171</v>
      </c>
      <c r="AG58" s="34">
        <f t="shared" si="33"/>
        <v>3978946.9474148736</v>
      </c>
      <c r="AH58" s="34">
        <f t="shared" si="33"/>
        <v>3928334.0178989428</v>
      </c>
      <c r="AI58" s="34">
        <f t="shared" si="33"/>
        <v>3877359.7891350156</v>
      </c>
      <c r="AJ58" s="34">
        <f t="shared" si="33"/>
        <v>3826013.7803414185</v>
      </c>
      <c r="AK58" s="34">
        <f t="shared" si="33"/>
        <v>3774285.3173948303</v>
      </c>
      <c r="AL58" s="34">
        <f t="shared" si="33"/>
        <v>3722163.5288820784</v>
      </c>
      <c r="AM58" s="34">
        <f t="shared" si="33"/>
        <v>3669637.3420733735</v>
      </c>
      <c r="AN58" s="34">
        <f t="shared" si="33"/>
        <v>3616695.4788154261</v>
      </c>
      <c r="AO58" s="34">
        <f t="shared" si="33"/>
        <v>3563326.4513428183</v>
      </c>
      <c r="AP58" s="34">
        <f t="shared" si="33"/>
        <v>3509518.5580060016</v>
      </c>
      <c r="AQ58" s="34">
        <f t="shared" si="33"/>
        <v>3455259.8789142687</v>
      </c>
      <c r="AR58" s="34">
        <f t="shared" si="33"/>
        <v>3400538.2714919588</v>
      </c>
      <c r="AS58" s="34">
        <f t="shared" si="33"/>
        <v>3345341.3659462067</v>
      </c>
    </row>
    <row r="59" spans="2:1006" outlineLevel="1" x14ac:dyDescent="0.35">
      <c r="C59" s="33" t="s">
        <v>167</v>
      </c>
      <c r="E59" s="33" t="s">
        <v>60</v>
      </c>
      <c r="F59" s="38">
        <f>IRR(J58:AS58)</f>
        <v>4.9325750937270652E-2</v>
      </c>
    </row>
    <row r="60" spans="2:1006" outlineLevel="1" x14ac:dyDescent="0.35"/>
    <row r="61" spans="2:1006" x14ac:dyDescent="0.35">
      <c r="B61" s="28" t="s">
        <v>168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</row>
    <row r="62" spans="2:1006" outlineLevel="1" x14ac:dyDescent="0.35">
      <c r="C62" s="33" t="s">
        <v>169</v>
      </c>
      <c r="E62" s="33" t="s">
        <v>90</v>
      </c>
      <c r="J62" s="34">
        <f>J26</f>
        <v>0</v>
      </c>
      <c r="K62" s="34">
        <f t="shared" ref="K62:AS62" si="34">K26</f>
        <v>5023375</v>
      </c>
      <c r="L62" s="34">
        <f t="shared" si="34"/>
        <v>4971483.125</v>
      </c>
      <c r="M62" s="34">
        <f t="shared" si="34"/>
        <v>4919315.2093749996</v>
      </c>
      <c r="N62" s="34">
        <f t="shared" si="34"/>
        <v>4866861.9233281258</v>
      </c>
      <c r="O62" s="34">
        <f t="shared" si="34"/>
        <v>4814113.7695114845</v>
      </c>
      <c r="P62" s="34">
        <f t="shared" si="34"/>
        <v>4761061.079579927</v>
      </c>
      <c r="Q62" s="34">
        <f t="shared" si="34"/>
        <v>4707694.0106763486</v>
      </c>
      <c r="R62" s="34">
        <f t="shared" si="34"/>
        <v>4654002.5418471722</v>
      </c>
      <c r="S62" s="34">
        <f t="shared" si="34"/>
        <v>4599976.4703866262</v>
      </c>
      <c r="T62" s="34">
        <f t="shared" si="34"/>
        <v>4545605.4081083573</v>
      </c>
      <c r="U62" s="34">
        <f t="shared" si="34"/>
        <v>4490878.7775429534</v>
      </c>
      <c r="V62" s="34">
        <f t="shared" si="34"/>
        <v>4435785.8080598786</v>
      </c>
      <c r="W62" s="34">
        <f t="shared" si="34"/>
        <v>4380315.5319123119</v>
      </c>
      <c r="X62" s="34">
        <f t="shared" si="34"/>
        <v>4324456.7802033387</v>
      </c>
      <c r="Y62" s="34">
        <f t="shared" si="34"/>
        <v>4268198.1787719224</v>
      </c>
      <c r="Z62" s="34">
        <f t="shared" si="34"/>
        <v>4211528.1439970536</v>
      </c>
      <c r="AA62" s="34">
        <f t="shared" si="34"/>
        <v>4154434.8785184389</v>
      </c>
      <c r="AB62" s="34">
        <f t="shared" si="34"/>
        <v>4096906.3668720461</v>
      </c>
      <c r="AC62" s="34">
        <f t="shared" si="34"/>
        <v>4038930.3710388094</v>
      </c>
      <c r="AD62" s="34">
        <f t="shared" si="34"/>
        <v>3980494.4259047606</v>
      </c>
      <c r="AE62" s="34">
        <f t="shared" si="34"/>
        <v>5496738.8334089816</v>
      </c>
      <c r="AF62" s="34">
        <f t="shared" si="34"/>
        <v>5429468.8977146167</v>
      </c>
      <c r="AG62" s="34">
        <f t="shared" si="34"/>
        <v>5361739.5868681762</v>
      </c>
      <c r="AH62" s="34">
        <f t="shared" si="34"/>
        <v>5293537.283248811</v>
      </c>
      <c r="AI62" s="34">
        <f t="shared" si="34"/>
        <v>5224848.1190338433</v>
      </c>
      <c r="AJ62" s="34">
        <f t="shared" si="34"/>
        <v>5155657.9710839754</v>
      </c>
      <c r="AK62" s="34">
        <f t="shared" si="34"/>
        <v>5085952.4557267623</v>
      </c>
      <c r="AL62" s="34">
        <f t="shared" si="34"/>
        <v>5015716.9234362999</v>
      </c>
      <c r="AM62" s="34">
        <f t="shared" si="34"/>
        <v>4944936.453407052</v>
      </c>
      <c r="AN62" s="34">
        <f t="shared" si="34"/>
        <v>4873595.8480197098</v>
      </c>
      <c r="AO62" s="34">
        <f t="shared" si="34"/>
        <v>4801679.6271968987</v>
      </c>
      <c r="AP62" s="34">
        <f t="shared" si="34"/>
        <v>4729172.0226465464</v>
      </c>
      <c r="AQ62" s="34">
        <f t="shared" si="34"/>
        <v>4656056.9719906589</v>
      </c>
      <c r="AR62" s="34">
        <f t="shared" si="34"/>
        <v>4582318.1127771977</v>
      </c>
      <c r="AS62" s="34">
        <f t="shared" si="34"/>
        <v>4507938.7763727345</v>
      </c>
    </row>
    <row r="63" spans="2:1006" outlineLevel="1" x14ac:dyDescent="0.35">
      <c r="C63" s="33" t="s">
        <v>143</v>
      </c>
      <c r="E63" s="33" t="s">
        <v>90</v>
      </c>
      <c r="J63" s="34">
        <f>J24</f>
        <v>0</v>
      </c>
      <c r="K63" s="34">
        <f t="shared" ref="K63:AS63" si="35">K24</f>
        <v>-27609958.333333332</v>
      </c>
      <c r="L63" s="34">
        <f t="shared" si="35"/>
        <v>-14741850.208333332</v>
      </c>
      <c r="M63" s="34">
        <f t="shared" si="35"/>
        <v>-7042018.1239583343</v>
      </c>
      <c r="N63" s="34">
        <f t="shared" si="35"/>
        <v>-4187471.4100052081</v>
      </c>
      <c r="O63" s="34">
        <f t="shared" si="35"/>
        <v>-4240219.5638218494</v>
      </c>
      <c r="P63" s="34">
        <f t="shared" si="35"/>
        <v>4427727.746246594</v>
      </c>
      <c r="Q63" s="34">
        <f t="shared" si="35"/>
        <v>4374360.6773430156</v>
      </c>
      <c r="R63" s="34">
        <f t="shared" si="35"/>
        <v>4320669.2085138392</v>
      </c>
      <c r="S63" s="34">
        <f t="shared" si="35"/>
        <v>4266643.1370532932</v>
      </c>
      <c r="T63" s="34">
        <f t="shared" si="35"/>
        <v>4212272.0747750243</v>
      </c>
      <c r="U63" s="34">
        <f t="shared" si="35"/>
        <v>4157545.4442096199</v>
      </c>
      <c r="V63" s="34">
        <f t="shared" si="35"/>
        <v>4102452.4747265452</v>
      </c>
      <c r="W63" s="34">
        <f t="shared" si="35"/>
        <v>4046982.1985789784</v>
      </c>
      <c r="X63" s="34">
        <f t="shared" si="35"/>
        <v>3991123.4468700052</v>
      </c>
      <c r="Y63" s="34">
        <f t="shared" si="35"/>
        <v>3934864.8454385889</v>
      </c>
      <c r="Z63" s="34">
        <f t="shared" si="35"/>
        <v>4211528.1439970536</v>
      </c>
      <c r="AA63" s="34">
        <f t="shared" si="35"/>
        <v>4154434.8785184389</v>
      </c>
      <c r="AB63" s="34">
        <f t="shared" si="35"/>
        <v>4096906.3668720461</v>
      </c>
      <c r="AC63" s="34">
        <f t="shared" si="35"/>
        <v>4038930.3710388094</v>
      </c>
      <c r="AD63" s="34">
        <f t="shared" si="35"/>
        <v>3980494.4259047606</v>
      </c>
      <c r="AE63" s="34">
        <f t="shared" si="35"/>
        <v>5496738.8334089816</v>
      </c>
      <c r="AF63" s="34">
        <f t="shared" si="35"/>
        <v>5429468.8977146167</v>
      </c>
      <c r="AG63" s="34">
        <f t="shared" si="35"/>
        <v>5361739.5868681762</v>
      </c>
      <c r="AH63" s="34">
        <f t="shared" si="35"/>
        <v>5293537.283248811</v>
      </c>
      <c r="AI63" s="34">
        <f t="shared" si="35"/>
        <v>5224848.1190338433</v>
      </c>
      <c r="AJ63" s="34">
        <f t="shared" si="35"/>
        <v>5155657.9710839754</v>
      </c>
      <c r="AK63" s="34">
        <f t="shared" si="35"/>
        <v>5085952.4557267623</v>
      </c>
      <c r="AL63" s="34">
        <f t="shared" si="35"/>
        <v>5015716.9234362999</v>
      </c>
      <c r="AM63" s="34">
        <f t="shared" si="35"/>
        <v>4944936.453407052</v>
      </c>
      <c r="AN63" s="34">
        <f t="shared" si="35"/>
        <v>4873595.8480197098</v>
      </c>
      <c r="AO63" s="34">
        <f t="shared" si="35"/>
        <v>4801679.6271968987</v>
      </c>
      <c r="AP63" s="34">
        <f t="shared" si="35"/>
        <v>4729172.0226465464</v>
      </c>
      <c r="AQ63" s="34">
        <f t="shared" si="35"/>
        <v>4656056.9719906589</v>
      </c>
      <c r="AR63" s="34">
        <f t="shared" si="35"/>
        <v>4582318.1127771977</v>
      </c>
      <c r="AS63" s="34">
        <f t="shared" si="35"/>
        <v>4507938.7763727345</v>
      </c>
    </row>
    <row r="64" spans="2:1006" outlineLevel="1" x14ac:dyDescent="0.35">
      <c r="C64" s="33" t="s">
        <v>134</v>
      </c>
      <c r="E64" s="33" t="s">
        <v>90</v>
      </c>
      <c r="J64" s="34">
        <f>J25</f>
        <v>28500000</v>
      </c>
      <c r="K64" s="34">
        <f t="shared" ref="K64:AS64" si="36">K25</f>
        <v>0</v>
      </c>
      <c r="L64" s="34">
        <f t="shared" si="36"/>
        <v>0</v>
      </c>
      <c r="M64" s="34">
        <f t="shared" si="36"/>
        <v>0</v>
      </c>
      <c r="N64" s="34">
        <f t="shared" si="36"/>
        <v>0</v>
      </c>
      <c r="O64" s="34">
        <f t="shared" si="36"/>
        <v>0</v>
      </c>
      <c r="P64" s="34">
        <f t="shared" si="36"/>
        <v>0</v>
      </c>
      <c r="Q64" s="34">
        <f t="shared" si="36"/>
        <v>0</v>
      </c>
      <c r="R64" s="34">
        <f t="shared" si="36"/>
        <v>0</v>
      </c>
      <c r="S64" s="34">
        <f t="shared" si="36"/>
        <v>0</v>
      </c>
      <c r="T64" s="34">
        <f t="shared" si="36"/>
        <v>0</v>
      </c>
      <c r="U64" s="34">
        <f t="shared" si="36"/>
        <v>0</v>
      </c>
      <c r="V64" s="34">
        <f t="shared" si="36"/>
        <v>0</v>
      </c>
      <c r="W64" s="34">
        <f t="shared" si="36"/>
        <v>0</v>
      </c>
      <c r="X64" s="34">
        <f t="shared" si="36"/>
        <v>0</v>
      </c>
      <c r="Y64" s="34">
        <f t="shared" si="36"/>
        <v>0</v>
      </c>
      <c r="Z64" s="34">
        <f t="shared" si="36"/>
        <v>0</v>
      </c>
      <c r="AA64" s="34">
        <f t="shared" si="36"/>
        <v>0</v>
      </c>
      <c r="AB64" s="34">
        <f t="shared" si="36"/>
        <v>0</v>
      </c>
      <c r="AC64" s="34">
        <f t="shared" si="36"/>
        <v>0</v>
      </c>
      <c r="AD64" s="34">
        <f t="shared" si="36"/>
        <v>0</v>
      </c>
      <c r="AE64" s="34">
        <f t="shared" si="36"/>
        <v>0</v>
      </c>
      <c r="AF64" s="34">
        <f t="shared" si="36"/>
        <v>0</v>
      </c>
      <c r="AG64" s="34">
        <f t="shared" si="36"/>
        <v>0</v>
      </c>
      <c r="AH64" s="34">
        <f t="shared" si="36"/>
        <v>0</v>
      </c>
      <c r="AI64" s="34">
        <f t="shared" si="36"/>
        <v>0</v>
      </c>
      <c r="AJ64" s="34">
        <f t="shared" si="36"/>
        <v>0</v>
      </c>
      <c r="AK64" s="34">
        <f t="shared" si="36"/>
        <v>0</v>
      </c>
      <c r="AL64" s="34">
        <f t="shared" si="36"/>
        <v>0</v>
      </c>
      <c r="AM64" s="34">
        <f t="shared" si="36"/>
        <v>0</v>
      </c>
      <c r="AN64" s="34">
        <f t="shared" si="36"/>
        <v>0</v>
      </c>
      <c r="AO64" s="34">
        <f t="shared" si="36"/>
        <v>0</v>
      </c>
      <c r="AP64" s="34">
        <f t="shared" si="36"/>
        <v>0</v>
      </c>
      <c r="AQ64" s="34">
        <f t="shared" si="36"/>
        <v>0</v>
      </c>
      <c r="AR64" s="34">
        <f t="shared" si="36"/>
        <v>0</v>
      </c>
      <c r="AS64" s="34">
        <f t="shared" si="36"/>
        <v>0</v>
      </c>
    </row>
    <row r="65" spans="3:45" outlineLevel="1" x14ac:dyDescent="0.35">
      <c r="C65" s="33" t="s">
        <v>182</v>
      </c>
      <c r="E65" s="33" t="s">
        <v>90</v>
      </c>
      <c r="F65" s="33" t="s">
        <v>60</v>
      </c>
      <c r="G65" s="27">
        <f>Inputs!F30</f>
        <v>0.21</v>
      </c>
      <c r="J65" s="34">
        <f>J62-J63*$G$65+J64</f>
        <v>28500000</v>
      </c>
      <c r="K65" s="34">
        <f t="shared" ref="K65:AS65" si="37">K62-K63*$G$65+K64</f>
        <v>10821466.25</v>
      </c>
      <c r="L65" s="34">
        <f t="shared" si="37"/>
        <v>8067271.6687499993</v>
      </c>
      <c r="M65" s="34">
        <f t="shared" si="37"/>
        <v>6398139.01540625</v>
      </c>
      <c r="N65" s="34">
        <f t="shared" si="37"/>
        <v>5746230.9194292193</v>
      </c>
      <c r="O65" s="34">
        <f t="shared" si="37"/>
        <v>5704559.8779140729</v>
      </c>
      <c r="P65" s="34">
        <f t="shared" si="37"/>
        <v>3831238.2528681424</v>
      </c>
      <c r="Q65" s="34">
        <f t="shared" si="37"/>
        <v>3789078.2684343155</v>
      </c>
      <c r="R65" s="34">
        <f t="shared" si="37"/>
        <v>3746662.008059266</v>
      </c>
      <c r="S65" s="34">
        <f t="shared" si="37"/>
        <v>3703981.4116054345</v>
      </c>
      <c r="T65" s="34">
        <f t="shared" si="37"/>
        <v>3661028.272405602</v>
      </c>
      <c r="U65" s="34">
        <f t="shared" si="37"/>
        <v>3617794.234258933</v>
      </c>
      <c r="V65" s="34">
        <f t="shared" si="37"/>
        <v>3574270.788367304</v>
      </c>
      <c r="W65" s="34">
        <f t="shared" si="37"/>
        <v>3530449.2702107262</v>
      </c>
      <c r="X65" s="34">
        <f t="shared" si="37"/>
        <v>3486320.8563606376</v>
      </c>
      <c r="Y65" s="34">
        <f t="shared" si="37"/>
        <v>3441876.5612298185</v>
      </c>
      <c r="Z65" s="34">
        <f t="shared" si="37"/>
        <v>3327107.2337576724</v>
      </c>
      <c r="AA65" s="34">
        <f t="shared" si="37"/>
        <v>3282003.5540295667</v>
      </c>
      <c r="AB65" s="34">
        <f t="shared" si="37"/>
        <v>3236556.0298289163</v>
      </c>
      <c r="AC65" s="34">
        <f t="shared" si="37"/>
        <v>3190754.9931206596</v>
      </c>
      <c r="AD65" s="34">
        <f t="shared" si="37"/>
        <v>3144590.5964647611</v>
      </c>
      <c r="AE65" s="34">
        <f t="shared" si="37"/>
        <v>4342423.6783930957</v>
      </c>
      <c r="AF65" s="34">
        <f t="shared" si="37"/>
        <v>4289280.4291945472</v>
      </c>
      <c r="AG65" s="34">
        <f t="shared" si="37"/>
        <v>4235774.2736258591</v>
      </c>
      <c r="AH65" s="34">
        <f t="shared" si="37"/>
        <v>4181894.4537665606</v>
      </c>
      <c r="AI65" s="34">
        <f t="shared" si="37"/>
        <v>4127630.0140367365</v>
      </c>
      <c r="AJ65" s="34">
        <f t="shared" si="37"/>
        <v>4072969.7971563404</v>
      </c>
      <c r="AK65" s="34">
        <f t="shared" si="37"/>
        <v>4017902.4400241422</v>
      </c>
      <c r="AL65" s="34">
        <f t="shared" si="37"/>
        <v>3962416.3695146767</v>
      </c>
      <c r="AM65" s="34">
        <f t="shared" si="37"/>
        <v>3906499.7981915711</v>
      </c>
      <c r="AN65" s="34">
        <f t="shared" si="37"/>
        <v>3850140.7199355708</v>
      </c>
      <c r="AO65" s="34">
        <f t="shared" si="37"/>
        <v>3793326.9054855499</v>
      </c>
      <c r="AP65" s="34">
        <f t="shared" si="37"/>
        <v>3736045.8978907717</v>
      </c>
      <c r="AQ65" s="34">
        <f t="shared" si="37"/>
        <v>3678285.0078726206</v>
      </c>
      <c r="AR65" s="34">
        <f t="shared" si="37"/>
        <v>3620031.3090939862</v>
      </c>
      <c r="AS65" s="34">
        <f t="shared" si="37"/>
        <v>3561271.6333344602</v>
      </c>
    </row>
    <row r="66" spans="3:45" outlineLevel="1" x14ac:dyDescent="0.35"/>
    <row r="67" spans="3:45" outlineLevel="1" x14ac:dyDescent="0.35">
      <c r="C67" s="33" t="s">
        <v>170</v>
      </c>
      <c r="E67" s="33" t="s">
        <v>90</v>
      </c>
      <c r="F67" s="35">
        <f>G21</f>
        <v>0.2</v>
      </c>
      <c r="J67" s="34">
        <f>J62*$F$67</f>
        <v>0</v>
      </c>
      <c r="K67" s="34">
        <f t="shared" ref="K67:AS67" si="38">K62*$F$67</f>
        <v>1004675</v>
      </c>
      <c r="L67" s="34">
        <f t="shared" si="38"/>
        <v>994296.625</v>
      </c>
      <c r="M67" s="34">
        <f t="shared" si="38"/>
        <v>983863.041875</v>
      </c>
      <c r="N67" s="34">
        <f t="shared" si="38"/>
        <v>973372.38466562517</v>
      </c>
      <c r="O67" s="34">
        <f t="shared" si="38"/>
        <v>962822.753902297</v>
      </c>
      <c r="P67" s="34">
        <f t="shared" si="38"/>
        <v>952212.21591598541</v>
      </c>
      <c r="Q67" s="34">
        <f t="shared" si="38"/>
        <v>941538.80213526974</v>
      </c>
      <c r="R67" s="34">
        <f t="shared" si="38"/>
        <v>930800.50836943451</v>
      </c>
      <c r="S67" s="34">
        <f t="shared" si="38"/>
        <v>919995.29407732526</v>
      </c>
      <c r="T67" s="34">
        <f t="shared" si="38"/>
        <v>909121.08162167156</v>
      </c>
      <c r="U67" s="34">
        <f t="shared" si="38"/>
        <v>898175.75550859072</v>
      </c>
      <c r="V67" s="34">
        <f t="shared" si="38"/>
        <v>887157.16161197575</v>
      </c>
      <c r="W67" s="34">
        <f t="shared" si="38"/>
        <v>876063.10638246243</v>
      </c>
      <c r="X67" s="34">
        <f t="shared" si="38"/>
        <v>864891.35604066774</v>
      </c>
      <c r="Y67" s="34">
        <f t="shared" si="38"/>
        <v>853639.63575438457</v>
      </c>
      <c r="Z67" s="34">
        <f t="shared" si="38"/>
        <v>842305.62879941077</v>
      </c>
      <c r="AA67" s="34">
        <f t="shared" si="38"/>
        <v>830886.97570368787</v>
      </c>
      <c r="AB67" s="34">
        <f t="shared" si="38"/>
        <v>819381.2733744093</v>
      </c>
      <c r="AC67" s="34">
        <f t="shared" si="38"/>
        <v>807786.07420776191</v>
      </c>
      <c r="AD67" s="34">
        <f t="shared" si="38"/>
        <v>796098.88518095214</v>
      </c>
      <c r="AE67" s="34">
        <f t="shared" si="38"/>
        <v>1099347.7666817964</v>
      </c>
      <c r="AF67" s="34">
        <f t="shared" si="38"/>
        <v>1085893.7795429234</v>
      </c>
      <c r="AG67" s="34">
        <f t="shared" si="38"/>
        <v>1072347.9173736353</v>
      </c>
      <c r="AH67" s="34">
        <f t="shared" si="38"/>
        <v>1058707.4566497623</v>
      </c>
      <c r="AI67" s="34">
        <f t="shared" si="38"/>
        <v>1044969.6238067687</v>
      </c>
      <c r="AJ67" s="34">
        <f t="shared" si="38"/>
        <v>1031131.5942167952</v>
      </c>
      <c r="AK67" s="34">
        <f t="shared" si="38"/>
        <v>1017190.4911453525</v>
      </c>
      <c r="AL67" s="34">
        <f t="shared" si="38"/>
        <v>1003143.38468726</v>
      </c>
      <c r="AM67" s="34">
        <f t="shared" si="38"/>
        <v>988987.29068141046</v>
      </c>
      <c r="AN67" s="34">
        <f t="shared" si="38"/>
        <v>974719.16960394196</v>
      </c>
      <c r="AO67" s="34">
        <f t="shared" si="38"/>
        <v>960335.92543937976</v>
      </c>
      <c r="AP67" s="34">
        <f t="shared" si="38"/>
        <v>945834.40452930937</v>
      </c>
      <c r="AQ67" s="34">
        <f t="shared" si="38"/>
        <v>931211.39439813187</v>
      </c>
      <c r="AR67" s="34">
        <f t="shared" si="38"/>
        <v>916463.62255543959</v>
      </c>
      <c r="AS67" s="34">
        <f t="shared" si="38"/>
        <v>901587.75527454691</v>
      </c>
    </row>
    <row r="68" spans="3:45" outlineLevel="1" x14ac:dyDescent="0.35">
      <c r="C68" s="33" t="s">
        <v>185</v>
      </c>
      <c r="E68" s="33" t="s">
        <v>90</v>
      </c>
      <c r="F68" s="35">
        <f>G18</f>
        <v>0.99</v>
      </c>
      <c r="G68" s="27">
        <f>Inputs!F30</f>
        <v>0.21</v>
      </c>
      <c r="J68" s="34">
        <f>J63*$F$68*$G$68</f>
        <v>0</v>
      </c>
      <c r="K68" s="34">
        <f t="shared" ref="K68:AS68" si="39">K63*$F$68*$G$68</f>
        <v>-5740110.3374999994</v>
      </c>
      <c r="L68" s="34">
        <f t="shared" si="39"/>
        <v>-3064830.6583124995</v>
      </c>
      <c r="M68" s="34">
        <f t="shared" si="39"/>
        <v>-1464035.5679709376</v>
      </c>
      <c r="N68" s="34">
        <f t="shared" si="39"/>
        <v>-870575.30614008277</v>
      </c>
      <c r="O68" s="34">
        <f t="shared" si="39"/>
        <v>-881541.64731856238</v>
      </c>
      <c r="P68" s="34">
        <f t="shared" si="39"/>
        <v>920524.59844466695</v>
      </c>
      <c r="Q68" s="34">
        <f t="shared" si="39"/>
        <v>909429.58481961279</v>
      </c>
      <c r="R68" s="34">
        <f t="shared" si="39"/>
        <v>898267.12845002708</v>
      </c>
      <c r="S68" s="34">
        <f t="shared" si="39"/>
        <v>887035.10819337959</v>
      </c>
      <c r="T68" s="34">
        <f t="shared" si="39"/>
        <v>875731.36434572749</v>
      </c>
      <c r="U68" s="34">
        <f t="shared" si="39"/>
        <v>864353.69785117987</v>
      </c>
      <c r="V68" s="34">
        <f t="shared" si="39"/>
        <v>852899.86949564866</v>
      </c>
      <c r="W68" s="34">
        <f t="shared" si="39"/>
        <v>841367.59908456949</v>
      </c>
      <c r="X68" s="34">
        <f t="shared" si="39"/>
        <v>829754.56460427411</v>
      </c>
      <c r="Y68" s="34">
        <f t="shared" si="39"/>
        <v>818058.40136668261</v>
      </c>
      <c r="Z68" s="34">
        <f t="shared" si="39"/>
        <v>875576.70113698742</v>
      </c>
      <c r="AA68" s="34">
        <f t="shared" si="39"/>
        <v>863707.0112439834</v>
      </c>
      <c r="AB68" s="34">
        <f t="shared" si="39"/>
        <v>851746.83367269835</v>
      </c>
      <c r="AC68" s="34">
        <f t="shared" si="39"/>
        <v>839693.62413896841</v>
      </c>
      <c r="AD68" s="34">
        <f t="shared" si="39"/>
        <v>827544.79114559968</v>
      </c>
      <c r="AE68" s="34">
        <f t="shared" si="39"/>
        <v>1142772.0034657272</v>
      </c>
      <c r="AF68" s="34">
        <f t="shared" si="39"/>
        <v>1128786.5838348686</v>
      </c>
      <c r="AG68" s="34">
        <f t="shared" si="39"/>
        <v>1114705.6601098939</v>
      </c>
      <c r="AH68" s="34">
        <f t="shared" si="39"/>
        <v>1100526.4011874278</v>
      </c>
      <c r="AI68" s="34">
        <f t="shared" si="39"/>
        <v>1086245.9239471359</v>
      </c>
      <c r="AJ68" s="34">
        <f t="shared" si="39"/>
        <v>1071861.2921883583</v>
      </c>
      <c r="AK68" s="34">
        <f t="shared" si="39"/>
        <v>1057369.5155455938</v>
      </c>
      <c r="AL68" s="34">
        <f t="shared" si="39"/>
        <v>1042767.5483824066</v>
      </c>
      <c r="AM68" s="34">
        <f t="shared" si="39"/>
        <v>1028052.2886633261</v>
      </c>
      <c r="AN68" s="34">
        <f t="shared" si="39"/>
        <v>1013220.5768032976</v>
      </c>
      <c r="AO68" s="34">
        <f t="shared" si="39"/>
        <v>998269.19449423533</v>
      </c>
      <c r="AP68" s="34">
        <f t="shared" si="39"/>
        <v>983194.86350821692</v>
      </c>
      <c r="AQ68" s="34">
        <f t="shared" si="39"/>
        <v>967994.24447685783</v>
      </c>
      <c r="AR68" s="34">
        <f t="shared" si="39"/>
        <v>952663.93564637937</v>
      </c>
      <c r="AS68" s="34">
        <f t="shared" si="39"/>
        <v>937200.47160789149</v>
      </c>
    </row>
    <row r="69" spans="3:45" outlineLevel="1" x14ac:dyDescent="0.35">
      <c r="C69" s="33" t="s">
        <v>171</v>
      </c>
      <c r="E69" s="33" t="s">
        <v>90</v>
      </c>
      <c r="F69" s="35">
        <f>F68</f>
        <v>0.99</v>
      </c>
      <c r="J69" s="34">
        <f>J64*$F$69</f>
        <v>28215000</v>
      </c>
      <c r="K69" s="34">
        <f t="shared" ref="K69:AS69" si="40">K64*$F$69</f>
        <v>0</v>
      </c>
      <c r="L69" s="34">
        <f t="shared" si="40"/>
        <v>0</v>
      </c>
      <c r="M69" s="34">
        <f t="shared" si="40"/>
        <v>0</v>
      </c>
      <c r="N69" s="34">
        <f t="shared" si="40"/>
        <v>0</v>
      </c>
      <c r="O69" s="34">
        <f t="shared" si="40"/>
        <v>0</v>
      </c>
      <c r="P69" s="34">
        <f t="shared" si="40"/>
        <v>0</v>
      </c>
      <c r="Q69" s="34">
        <f t="shared" si="40"/>
        <v>0</v>
      </c>
      <c r="R69" s="34">
        <f t="shared" si="40"/>
        <v>0</v>
      </c>
      <c r="S69" s="34">
        <f t="shared" si="40"/>
        <v>0</v>
      </c>
      <c r="T69" s="34">
        <f t="shared" si="40"/>
        <v>0</v>
      </c>
      <c r="U69" s="34">
        <f t="shared" si="40"/>
        <v>0</v>
      </c>
      <c r="V69" s="34">
        <f t="shared" si="40"/>
        <v>0</v>
      </c>
      <c r="W69" s="34">
        <f t="shared" si="40"/>
        <v>0</v>
      </c>
      <c r="X69" s="34">
        <f t="shared" si="40"/>
        <v>0</v>
      </c>
      <c r="Y69" s="34">
        <f t="shared" si="40"/>
        <v>0</v>
      </c>
      <c r="Z69" s="34">
        <f t="shared" si="40"/>
        <v>0</v>
      </c>
      <c r="AA69" s="34">
        <f t="shared" si="40"/>
        <v>0</v>
      </c>
      <c r="AB69" s="34">
        <f t="shared" si="40"/>
        <v>0</v>
      </c>
      <c r="AC69" s="34">
        <f t="shared" si="40"/>
        <v>0</v>
      </c>
      <c r="AD69" s="34">
        <f t="shared" si="40"/>
        <v>0</v>
      </c>
      <c r="AE69" s="34">
        <f t="shared" si="40"/>
        <v>0</v>
      </c>
      <c r="AF69" s="34">
        <f t="shared" si="40"/>
        <v>0</v>
      </c>
      <c r="AG69" s="34">
        <f t="shared" si="40"/>
        <v>0</v>
      </c>
      <c r="AH69" s="34">
        <f t="shared" si="40"/>
        <v>0</v>
      </c>
      <c r="AI69" s="34">
        <f t="shared" si="40"/>
        <v>0</v>
      </c>
      <c r="AJ69" s="34">
        <f t="shared" si="40"/>
        <v>0</v>
      </c>
      <c r="AK69" s="34">
        <f t="shared" si="40"/>
        <v>0</v>
      </c>
      <c r="AL69" s="34">
        <f t="shared" si="40"/>
        <v>0</v>
      </c>
      <c r="AM69" s="34">
        <f t="shared" si="40"/>
        <v>0</v>
      </c>
      <c r="AN69" s="34">
        <f t="shared" si="40"/>
        <v>0</v>
      </c>
      <c r="AO69" s="34">
        <f t="shared" si="40"/>
        <v>0</v>
      </c>
      <c r="AP69" s="34">
        <f t="shared" si="40"/>
        <v>0</v>
      </c>
      <c r="AQ69" s="34">
        <f t="shared" si="40"/>
        <v>0</v>
      </c>
      <c r="AR69" s="34">
        <f t="shared" si="40"/>
        <v>0</v>
      </c>
      <c r="AS69" s="34">
        <f t="shared" si="40"/>
        <v>0</v>
      </c>
    </row>
    <row r="70" spans="3:45" outlineLevel="1" x14ac:dyDescent="0.35"/>
    <row r="71" spans="3:45" outlineLevel="1" x14ac:dyDescent="0.35">
      <c r="C71" s="33" t="s">
        <v>172</v>
      </c>
      <c r="E71" s="33" t="s">
        <v>90</v>
      </c>
      <c r="J71" s="34">
        <f>J34</f>
        <v>39900000</v>
      </c>
      <c r="K71" s="34">
        <f t="shared" ref="K71:AS71" si="41">K34</f>
        <v>0</v>
      </c>
      <c r="L71" s="34">
        <f t="shared" si="41"/>
        <v>0</v>
      </c>
      <c r="M71" s="34">
        <f t="shared" si="41"/>
        <v>0</v>
      </c>
      <c r="N71" s="34">
        <f t="shared" si="41"/>
        <v>0</v>
      </c>
      <c r="O71" s="34">
        <f t="shared" si="41"/>
        <v>0</v>
      </c>
      <c r="P71" s="34">
        <f t="shared" si="41"/>
        <v>0</v>
      </c>
      <c r="Q71" s="34">
        <f t="shared" si="41"/>
        <v>0</v>
      </c>
      <c r="R71" s="34">
        <f t="shared" si="41"/>
        <v>0</v>
      </c>
      <c r="S71" s="34">
        <f t="shared" si="41"/>
        <v>0</v>
      </c>
      <c r="T71" s="34">
        <f t="shared" si="41"/>
        <v>0</v>
      </c>
      <c r="U71" s="34">
        <f t="shared" si="41"/>
        <v>0</v>
      </c>
      <c r="V71" s="34">
        <f t="shared" si="41"/>
        <v>0</v>
      </c>
      <c r="W71" s="34">
        <f t="shared" si="41"/>
        <v>0</v>
      </c>
      <c r="X71" s="34">
        <f t="shared" si="41"/>
        <v>0</v>
      </c>
      <c r="Y71" s="34">
        <f t="shared" si="41"/>
        <v>0</v>
      </c>
      <c r="Z71" s="34">
        <f t="shared" si="41"/>
        <v>0</v>
      </c>
      <c r="AA71" s="34">
        <f t="shared" si="41"/>
        <v>0</v>
      </c>
      <c r="AB71" s="34">
        <f t="shared" si="41"/>
        <v>0</v>
      </c>
      <c r="AC71" s="34">
        <f t="shared" si="41"/>
        <v>0</v>
      </c>
      <c r="AD71" s="34">
        <f t="shared" si="41"/>
        <v>0</v>
      </c>
      <c r="AE71" s="34">
        <f t="shared" si="41"/>
        <v>0</v>
      </c>
      <c r="AF71" s="34">
        <f t="shared" si="41"/>
        <v>0</v>
      </c>
      <c r="AG71" s="34">
        <f t="shared" si="41"/>
        <v>0</v>
      </c>
      <c r="AH71" s="34">
        <f t="shared" si="41"/>
        <v>0</v>
      </c>
      <c r="AI71" s="34">
        <f t="shared" si="41"/>
        <v>0</v>
      </c>
      <c r="AJ71" s="34">
        <f t="shared" si="41"/>
        <v>0</v>
      </c>
      <c r="AK71" s="34">
        <f t="shared" si="41"/>
        <v>0</v>
      </c>
      <c r="AL71" s="34">
        <f t="shared" si="41"/>
        <v>0</v>
      </c>
      <c r="AM71" s="34">
        <f t="shared" si="41"/>
        <v>0</v>
      </c>
      <c r="AN71" s="34">
        <f t="shared" si="41"/>
        <v>0</v>
      </c>
      <c r="AO71" s="34">
        <f t="shared" si="41"/>
        <v>0</v>
      </c>
      <c r="AP71" s="34">
        <f t="shared" si="41"/>
        <v>0</v>
      </c>
      <c r="AQ71" s="34">
        <f t="shared" si="41"/>
        <v>0</v>
      </c>
      <c r="AR71" s="34">
        <f t="shared" si="41"/>
        <v>0</v>
      </c>
      <c r="AS71" s="34">
        <f t="shared" si="41"/>
        <v>0</v>
      </c>
    </row>
    <row r="72" spans="3:45" outlineLevel="1" x14ac:dyDescent="0.35">
      <c r="C72" s="33" t="s">
        <v>173</v>
      </c>
      <c r="E72" s="33" t="s">
        <v>90</v>
      </c>
      <c r="J72" s="34">
        <f>J67-J68+J69-J71</f>
        <v>-11685000</v>
      </c>
      <c r="K72" s="34">
        <f t="shared" ref="K72:AS72" si="42">K67-K68+K69-K71</f>
        <v>6744785.3374999994</v>
      </c>
      <c r="L72" s="34">
        <f t="shared" si="42"/>
        <v>4059127.2833124995</v>
      </c>
      <c r="M72" s="34">
        <f t="shared" si="42"/>
        <v>2447898.6098459377</v>
      </c>
      <c r="N72" s="34">
        <f t="shared" si="42"/>
        <v>1843947.6908057081</v>
      </c>
      <c r="O72" s="34">
        <f t="shared" si="42"/>
        <v>1844364.4012208595</v>
      </c>
      <c r="P72" s="34">
        <f t="shared" si="42"/>
        <v>31687.617471318459</v>
      </c>
      <c r="Q72" s="34">
        <f t="shared" si="42"/>
        <v>32109.217315656948</v>
      </c>
      <c r="R72" s="34">
        <f t="shared" si="42"/>
        <v>32533.379919407424</v>
      </c>
      <c r="S72" s="34">
        <f t="shared" si="42"/>
        <v>32960.185883945669</v>
      </c>
      <c r="T72" s="34">
        <f t="shared" si="42"/>
        <v>33389.717275944073</v>
      </c>
      <c r="U72" s="34">
        <f t="shared" si="42"/>
        <v>33822.057657410856</v>
      </c>
      <c r="V72" s="34">
        <f t="shared" si="42"/>
        <v>34257.292116327095</v>
      </c>
      <c r="W72" s="34">
        <f t="shared" si="42"/>
        <v>34695.507297892938</v>
      </c>
      <c r="X72" s="34">
        <f t="shared" si="42"/>
        <v>35136.791436393629</v>
      </c>
      <c r="Y72" s="34">
        <f t="shared" si="42"/>
        <v>35581.234387701959</v>
      </c>
      <c r="Z72" s="34">
        <f t="shared" si="42"/>
        <v>-33271.072337576654</v>
      </c>
      <c r="AA72" s="34">
        <f t="shared" si="42"/>
        <v>-32820.035540295532</v>
      </c>
      <c r="AB72" s="34">
        <f t="shared" si="42"/>
        <v>-32365.560298289056</v>
      </c>
      <c r="AC72" s="34">
        <f t="shared" si="42"/>
        <v>-31907.549931206508</v>
      </c>
      <c r="AD72" s="34">
        <f t="shared" si="42"/>
        <v>-31445.905964647536</v>
      </c>
      <c r="AE72" s="34">
        <f t="shared" si="42"/>
        <v>-43424.236783930799</v>
      </c>
      <c r="AF72" s="34">
        <f t="shared" si="42"/>
        <v>-42892.804291945184</v>
      </c>
      <c r="AG72" s="34">
        <f t="shared" si="42"/>
        <v>-42357.742736258544</v>
      </c>
      <c r="AH72" s="34">
        <f t="shared" si="42"/>
        <v>-41818.944537665462</v>
      </c>
      <c r="AI72" s="34">
        <f t="shared" si="42"/>
        <v>-41276.300140367239</v>
      </c>
      <c r="AJ72" s="34">
        <f t="shared" si="42"/>
        <v>-40729.697971563088</v>
      </c>
      <c r="AK72" s="34">
        <f t="shared" si="42"/>
        <v>-40179.024400241324</v>
      </c>
      <c r="AL72" s="34">
        <f t="shared" si="42"/>
        <v>-39624.163695146563</v>
      </c>
      <c r="AM72" s="34">
        <f t="shared" si="42"/>
        <v>-39064.9979819156</v>
      </c>
      <c r="AN72" s="34">
        <f t="shared" si="42"/>
        <v>-38501.407199355657</v>
      </c>
      <c r="AO72" s="34">
        <f t="shared" si="42"/>
        <v>-37933.269054855569</v>
      </c>
      <c r="AP72" s="34">
        <f t="shared" si="42"/>
        <v>-37360.458978907554</v>
      </c>
      <c r="AQ72" s="34">
        <f t="shared" si="42"/>
        <v>-36782.850078725955</v>
      </c>
      <c r="AR72" s="34">
        <f t="shared" si="42"/>
        <v>-36200.313090939773</v>
      </c>
      <c r="AS72" s="34">
        <f t="shared" si="42"/>
        <v>-35612.716333344579</v>
      </c>
    </row>
    <row r="73" spans="3:45" outlineLevel="1" x14ac:dyDescent="0.35">
      <c r="C73" s="33" t="s">
        <v>189</v>
      </c>
      <c r="E73" s="33" t="s">
        <v>90</v>
      </c>
      <c r="J73" s="34">
        <f>J69-J68</f>
        <v>28215000</v>
      </c>
      <c r="K73" s="34">
        <f t="shared" ref="K73:AS73" si="43">K69-K68</f>
        <v>5740110.3374999994</v>
      </c>
      <c r="L73" s="34">
        <f t="shared" si="43"/>
        <v>3064830.6583124995</v>
      </c>
      <c r="M73" s="34">
        <f t="shared" si="43"/>
        <v>1464035.5679709376</v>
      </c>
      <c r="N73" s="34">
        <f t="shared" si="43"/>
        <v>870575.30614008277</v>
      </c>
      <c r="O73" s="34">
        <f t="shared" si="43"/>
        <v>881541.64731856238</v>
      </c>
      <c r="P73" s="34">
        <f t="shared" si="43"/>
        <v>-920524.59844466695</v>
      </c>
      <c r="Q73" s="34">
        <f t="shared" si="43"/>
        <v>-909429.58481961279</v>
      </c>
      <c r="R73" s="34">
        <f t="shared" si="43"/>
        <v>-898267.12845002708</v>
      </c>
      <c r="S73" s="34">
        <f t="shared" si="43"/>
        <v>-887035.10819337959</v>
      </c>
      <c r="T73" s="34">
        <f t="shared" si="43"/>
        <v>-875731.36434572749</v>
      </c>
      <c r="U73" s="34">
        <f t="shared" si="43"/>
        <v>-864353.69785117987</v>
      </c>
      <c r="V73" s="34">
        <f t="shared" si="43"/>
        <v>-852899.86949564866</v>
      </c>
      <c r="W73" s="34">
        <f t="shared" si="43"/>
        <v>-841367.59908456949</v>
      </c>
      <c r="X73" s="34">
        <f t="shared" si="43"/>
        <v>-829754.56460427411</v>
      </c>
      <c r="Y73" s="34">
        <f t="shared" si="43"/>
        <v>-818058.40136668261</v>
      </c>
      <c r="Z73" s="34">
        <f t="shared" si="43"/>
        <v>-875576.70113698742</v>
      </c>
      <c r="AA73" s="34">
        <f t="shared" si="43"/>
        <v>-863707.0112439834</v>
      </c>
      <c r="AB73" s="34">
        <f t="shared" si="43"/>
        <v>-851746.83367269835</v>
      </c>
      <c r="AC73" s="34">
        <f t="shared" si="43"/>
        <v>-839693.62413896841</v>
      </c>
      <c r="AD73" s="34">
        <f t="shared" si="43"/>
        <v>-827544.79114559968</v>
      </c>
      <c r="AE73" s="34">
        <f t="shared" si="43"/>
        <v>-1142772.0034657272</v>
      </c>
      <c r="AF73" s="34">
        <f t="shared" si="43"/>
        <v>-1128786.5838348686</v>
      </c>
      <c r="AG73" s="34">
        <f t="shared" si="43"/>
        <v>-1114705.6601098939</v>
      </c>
      <c r="AH73" s="34">
        <f t="shared" si="43"/>
        <v>-1100526.4011874278</v>
      </c>
      <c r="AI73" s="34">
        <f t="shared" si="43"/>
        <v>-1086245.9239471359</v>
      </c>
      <c r="AJ73" s="34">
        <f t="shared" si="43"/>
        <v>-1071861.2921883583</v>
      </c>
      <c r="AK73" s="34">
        <f t="shared" si="43"/>
        <v>-1057369.5155455938</v>
      </c>
      <c r="AL73" s="34">
        <f t="shared" si="43"/>
        <v>-1042767.5483824066</v>
      </c>
      <c r="AM73" s="34">
        <f t="shared" si="43"/>
        <v>-1028052.2886633261</v>
      </c>
      <c r="AN73" s="34">
        <f t="shared" si="43"/>
        <v>-1013220.5768032976</v>
      </c>
      <c r="AO73" s="34">
        <f t="shared" si="43"/>
        <v>-998269.19449423533</v>
      </c>
      <c r="AP73" s="34">
        <f t="shared" si="43"/>
        <v>-983194.86350821692</v>
      </c>
      <c r="AQ73" s="34">
        <f t="shared" si="43"/>
        <v>-967994.24447685783</v>
      </c>
      <c r="AR73" s="34">
        <f t="shared" si="43"/>
        <v>-952663.93564637937</v>
      </c>
      <c r="AS73" s="34">
        <f t="shared" si="43"/>
        <v>-937200.47160789149</v>
      </c>
    </row>
    <row r="74" spans="3:45" outlineLevel="1" x14ac:dyDescent="0.35"/>
    <row r="75" spans="3:45" outlineLevel="1" x14ac:dyDescent="0.35">
      <c r="C75" s="33" t="s">
        <v>174</v>
      </c>
    </row>
    <row r="76" spans="3:45" outlineLevel="1" x14ac:dyDescent="0.35">
      <c r="D76" s="33" t="s">
        <v>175</v>
      </c>
      <c r="E76" s="33" t="s">
        <v>90</v>
      </c>
      <c r="J76" s="34">
        <f>I82</f>
        <v>0</v>
      </c>
      <c r="K76" s="34">
        <f t="shared" ref="K76:AS76" si="44">J82</f>
        <v>11685000</v>
      </c>
      <c r="L76" s="34">
        <f t="shared" si="44"/>
        <v>5758164.6625000006</v>
      </c>
      <c r="M76" s="34">
        <f t="shared" si="44"/>
        <v>2102108.9055625014</v>
      </c>
      <c r="N76" s="34">
        <f t="shared" si="44"/>
        <v>0</v>
      </c>
      <c r="O76" s="34">
        <f t="shared" si="44"/>
        <v>0</v>
      </c>
      <c r="P76" s="34">
        <f t="shared" si="44"/>
        <v>0</v>
      </c>
      <c r="Q76" s="34">
        <f t="shared" si="44"/>
        <v>0</v>
      </c>
      <c r="R76" s="34">
        <f t="shared" si="44"/>
        <v>0</v>
      </c>
      <c r="S76" s="34">
        <f t="shared" si="44"/>
        <v>0</v>
      </c>
      <c r="T76" s="34">
        <f t="shared" si="44"/>
        <v>0</v>
      </c>
      <c r="U76" s="34">
        <f t="shared" si="44"/>
        <v>0</v>
      </c>
      <c r="V76" s="34">
        <f t="shared" si="44"/>
        <v>0</v>
      </c>
      <c r="W76" s="34">
        <f t="shared" si="44"/>
        <v>0</v>
      </c>
      <c r="X76" s="34">
        <f t="shared" si="44"/>
        <v>0</v>
      </c>
      <c r="Y76" s="34">
        <f t="shared" si="44"/>
        <v>0</v>
      </c>
      <c r="Z76" s="34">
        <f t="shared" si="44"/>
        <v>0</v>
      </c>
      <c r="AA76" s="34">
        <f t="shared" si="44"/>
        <v>0</v>
      </c>
      <c r="AB76" s="34">
        <f t="shared" si="44"/>
        <v>0</v>
      </c>
      <c r="AC76" s="34">
        <f t="shared" si="44"/>
        <v>0</v>
      </c>
      <c r="AD76" s="34">
        <f t="shared" si="44"/>
        <v>0</v>
      </c>
      <c r="AE76" s="34">
        <f t="shared" si="44"/>
        <v>0</v>
      </c>
      <c r="AF76" s="34">
        <f t="shared" si="44"/>
        <v>0</v>
      </c>
      <c r="AG76" s="34">
        <f t="shared" si="44"/>
        <v>0</v>
      </c>
      <c r="AH76" s="34">
        <f t="shared" si="44"/>
        <v>0</v>
      </c>
      <c r="AI76" s="34">
        <f t="shared" si="44"/>
        <v>0</v>
      </c>
      <c r="AJ76" s="34">
        <f t="shared" si="44"/>
        <v>0</v>
      </c>
      <c r="AK76" s="34">
        <f t="shared" si="44"/>
        <v>0</v>
      </c>
      <c r="AL76" s="34">
        <f t="shared" si="44"/>
        <v>0</v>
      </c>
      <c r="AM76" s="34">
        <f t="shared" si="44"/>
        <v>0</v>
      </c>
      <c r="AN76" s="34">
        <f t="shared" si="44"/>
        <v>0</v>
      </c>
      <c r="AO76" s="34">
        <f t="shared" si="44"/>
        <v>0</v>
      </c>
      <c r="AP76" s="34">
        <f t="shared" si="44"/>
        <v>0</v>
      </c>
      <c r="AQ76" s="34">
        <f t="shared" si="44"/>
        <v>0</v>
      </c>
      <c r="AR76" s="34">
        <f t="shared" si="44"/>
        <v>0</v>
      </c>
      <c r="AS76" s="34">
        <f t="shared" si="44"/>
        <v>0</v>
      </c>
    </row>
    <row r="77" spans="3:45" outlineLevel="1" x14ac:dyDescent="0.35">
      <c r="D77" s="33" t="s">
        <v>176</v>
      </c>
      <c r="E77" s="33" t="s">
        <v>90</v>
      </c>
      <c r="F77" s="25">
        <f>Inputs!F36</f>
        <v>7.0000000000000007E-2</v>
      </c>
      <c r="J77" s="34">
        <f>J76*$F$77</f>
        <v>0</v>
      </c>
      <c r="K77" s="34">
        <f t="shared" ref="K77:AS77" si="45">K76*$F$77</f>
        <v>817950.00000000012</v>
      </c>
      <c r="L77" s="34">
        <f t="shared" si="45"/>
        <v>403071.52637500007</v>
      </c>
      <c r="M77" s="34">
        <f t="shared" si="45"/>
        <v>147147.62338937511</v>
      </c>
      <c r="N77" s="34">
        <f t="shared" si="45"/>
        <v>0</v>
      </c>
      <c r="O77" s="34">
        <f t="shared" si="45"/>
        <v>0</v>
      </c>
      <c r="P77" s="34">
        <f t="shared" si="45"/>
        <v>0</v>
      </c>
      <c r="Q77" s="34">
        <f t="shared" si="45"/>
        <v>0</v>
      </c>
      <c r="R77" s="34">
        <f t="shared" si="45"/>
        <v>0</v>
      </c>
      <c r="S77" s="34">
        <f t="shared" si="45"/>
        <v>0</v>
      </c>
      <c r="T77" s="34">
        <f t="shared" si="45"/>
        <v>0</v>
      </c>
      <c r="U77" s="34">
        <f t="shared" si="45"/>
        <v>0</v>
      </c>
      <c r="V77" s="34">
        <f t="shared" si="45"/>
        <v>0</v>
      </c>
      <c r="W77" s="34">
        <f t="shared" si="45"/>
        <v>0</v>
      </c>
      <c r="X77" s="34">
        <f t="shared" si="45"/>
        <v>0</v>
      </c>
      <c r="Y77" s="34">
        <f t="shared" si="45"/>
        <v>0</v>
      </c>
      <c r="Z77" s="34">
        <f t="shared" si="45"/>
        <v>0</v>
      </c>
      <c r="AA77" s="34">
        <f t="shared" si="45"/>
        <v>0</v>
      </c>
      <c r="AB77" s="34">
        <f t="shared" si="45"/>
        <v>0</v>
      </c>
      <c r="AC77" s="34">
        <f t="shared" si="45"/>
        <v>0</v>
      </c>
      <c r="AD77" s="34">
        <f t="shared" si="45"/>
        <v>0</v>
      </c>
      <c r="AE77" s="34">
        <f t="shared" si="45"/>
        <v>0</v>
      </c>
      <c r="AF77" s="34">
        <f t="shared" si="45"/>
        <v>0</v>
      </c>
      <c r="AG77" s="34">
        <f t="shared" si="45"/>
        <v>0</v>
      </c>
      <c r="AH77" s="34">
        <f t="shared" si="45"/>
        <v>0</v>
      </c>
      <c r="AI77" s="34">
        <f t="shared" si="45"/>
        <v>0</v>
      </c>
      <c r="AJ77" s="34">
        <f t="shared" si="45"/>
        <v>0</v>
      </c>
      <c r="AK77" s="34">
        <f t="shared" si="45"/>
        <v>0</v>
      </c>
      <c r="AL77" s="34">
        <f t="shared" si="45"/>
        <v>0</v>
      </c>
      <c r="AM77" s="34">
        <f t="shared" si="45"/>
        <v>0</v>
      </c>
      <c r="AN77" s="34">
        <f t="shared" si="45"/>
        <v>0</v>
      </c>
      <c r="AO77" s="34">
        <f t="shared" si="45"/>
        <v>0</v>
      </c>
      <c r="AP77" s="34">
        <f t="shared" si="45"/>
        <v>0</v>
      </c>
      <c r="AQ77" s="34">
        <f t="shared" si="45"/>
        <v>0</v>
      </c>
      <c r="AR77" s="34">
        <f t="shared" si="45"/>
        <v>0</v>
      </c>
      <c r="AS77" s="34">
        <f t="shared" si="45"/>
        <v>0</v>
      </c>
    </row>
    <row r="78" spans="3:45" outlineLevel="1" x14ac:dyDescent="0.35">
      <c r="D78" s="33" t="s">
        <v>178</v>
      </c>
      <c r="E78" s="33" t="s">
        <v>90</v>
      </c>
      <c r="I78" s="21">
        <f>SUM(K78:XFD78)</f>
        <v>0</v>
      </c>
      <c r="J78" s="34">
        <f t="shared" ref="J78:AS78" si="46">J71</f>
        <v>39900000</v>
      </c>
      <c r="K78" s="34">
        <f t="shared" si="46"/>
        <v>0</v>
      </c>
      <c r="L78" s="34">
        <f t="shared" si="46"/>
        <v>0</v>
      </c>
      <c r="M78" s="34">
        <f t="shared" si="46"/>
        <v>0</v>
      </c>
      <c r="N78" s="34">
        <f t="shared" si="46"/>
        <v>0</v>
      </c>
      <c r="O78" s="34">
        <f t="shared" si="46"/>
        <v>0</v>
      </c>
      <c r="P78" s="34">
        <f t="shared" si="46"/>
        <v>0</v>
      </c>
      <c r="Q78" s="34">
        <f t="shared" si="46"/>
        <v>0</v>
      </c>
      <c r="R78" s="34">
        <f t="shared" si="46"/>
        <v>0</v>
      </c>
      <c r="S78" s="34">
        <f t="shared" si="46"/>
        <v>0</v>
      </c>
      <c r="T78" s="34">
        <f t="shared" si="46"/>
        <v>0</v>
      </c>
      <c r="U78" s="34">
        <f t="shared" si="46"/>
        <v>0</v>
      </c>
      <c r="V78" s="34">
        <f t="shared" si="46"/>
        <v>0</v>
      </c>
      <c r="W78" s="34">
        <f t="shared" si="46"/>
        <v>0</v>
      </c>
      <c r="X78" s="34">
        <f t="shared" si="46"/>
        <v>0</v>
      </c>
      <c r="Y78" s="34">
        <f t="shared" si="46"/>
        <v>0</v>
      </c>
      <c r="Z78" s="34">
        <f t="shared" si="46"/>
        <v>0</v>
      </c>
      <c r="AA78" s="34">
        <f t="shared" si="46"/>
        <v>0</v>
      </c>
      <c r="AB78" s="34">
        <f t="shared" si="46"/>
        <v>0</v>
      </c>
      <c r="AC78" s="34">
        <f t="shared" si="46"/>
        <v>0</v>
      </c>
      <c r="AD78" s="34">
        <f t="shared" si="46"/>
        <v>0</v>
      </c>
      <c r="AE78" s="34">
        <f t="shared" si="46"/>
        <v>0</v>
      </c>
      <c r="AF78" s="34">
        <f t="shared" si="46"/>
        <v>0</v>
      </c>
      <c r="AG78" s="34">
        <f t="shared" si="46"/>
        <v>0</v>
      </c>
      <c r="AH78" s="34">
        <f t="shared" si="46"/>
        <v>0</v>
      </c>
      <c r="AI78" s="34">
        <f t="shared" si="46"/>
        <v>0</v>
      </c>
      <c r="AJ78" s="34">
        <f t="shared" si="46"/>
        <v>0</v>
      </c>
      <c r="AK78" s="34">
        <f t="shared" si="46"/>
        <v>0</v>
      </c>
      <c r="AL78" s="34">
        <f t="shared" si="46"/>
        <v>0</v>
      </c>
      <c r="AM78" s="34">
        <f t="shared" si="46"/>
        <v>0</v>
      </c>
      <c r="AN78" s="34">
        <f t="shared" si="46"/>
        <v>0</v>
      </c>
      <c r="AO78" s="34">
        <f t="shared" si="46"/>
        <v>0</v>
      </c>
      <c r="AP78" s="34">
        <f t="shared" si="46"/>
        <v>0</v>
      </c>
      <c r="AQ78" s="34">
        <f t="shared" si="46"/>
        <v>0</v>
      </c>
      <c r="AR78" s="34">
        <f t="shared" si="46"/>
        <v>0</v>
      </c>
      <c r="AS78" s="34">
        <f t="shared" si="46"/>
        <v>0</v>
      </c>
    </row>
    <row r="79" spans="3:45" outlineLevel="1" x14ac:dyDescent="0.35">
      <c r="D79" s="33" t="s">
        <v>188</v>
      </c>
      <c r="E79" s="33" t="s">
        <v>90</v>
      </c>
      <c r="F79" s="38"/>
      <c r="I79" s="21">
        <f>SUM(K79:XFD79)</f>
        <v>10268976.563783435</v>
      </c>
      <c r="J79" s="34">
        <f>J73</f>
        <v>28215000</v>
      </c>
      <c r="K79" s="34">
        <f>IF(K76,MIN(K73,K76+K77))</f>
        <v>5740110.3374999994</v>
      </c>
      <c r="L79" s="34">
        <f t="shared" ref="L79:AS79" si="47">IF(L76,MIN(L73,L76+L77))</f>
        <v>3064830.6583124995</v>
      </c>
      <c r="M79" s="34">
        <f t="shared" si="47"/>
        <v>1464035.5679709376</v>
      </c>
      <c r="N79" s="34" t="b">
        <f t="shared" si="47"/>
        <v>0</v>
      </c>
      <c r="O79" s="34" t="b">
        <f t="shared" si="47"/>
        <v>0</v>
      </c>
      <c r="P79" s="34" t="b">
        <f t="shared" si="47"/>
        <v>0</v>
      </c>
      <c r="Q79" s="34" t="b">
        <f t="shared" si="47"/>
        <v>0</v>
      </c>
      <c r="R79" s="34" t="b">
        <f t="shared" si="47"/>
        <v>0</v>
      </c>
      <c r="S79" s="34" t="b">
        <f t="shared" si="47"/>
        <v>0</v>
      </c>
      <c r="T79" s="34" t="b">
        <f t="shared" si="47"/>
        <v>0</v>
      </c>
      <c r="U79" s="34" t="b">
        <f t="shared" si="47"/>
        <v>0</v>
      </c>
      <c r="V79" s="34" t="b">
        <f t="shared" si="47"/>
        <v>0</v>
      </c>
      <c r="W79" s="34" t="b">
        <f t="shared" si="47"/>
        <v>0</v>
      </c>
      <c r="X79" s="34" t="b">
        <f t="shared" si="47"/>
        <v>0</v>
      </c>
      <c r="Y79" s="34" t="b">
        <f t="shared" si="47"/>
        <v>0</v>
      </c>
      <c r="Z79" s="34" t="b">
        <f t="shared" si="47"/>
        <v>0</v>
      </c>
      <c r="AA79" s="34" t="b">
        <f t="shared" si="47"/>
        <v>0</v>
      </c>
      <c r="AB79" s="34" t="b">
        <f t="shared" si="47"/>
        <v>0</v>
      </c>
      <c r="AC79" s="34" t="b">
        <f t="shared" si="47"/>
        <v>0</v>
      </c>
      <c r="AD79" s="34" t="b">
        <f t="shared" si="47"/>
        <v>0</v>
      </c>
      <c r="AE79" s="34" t="b">
        <f t="shared" si="47"/>
        <v>0</v>
      </c>
      <c r="AF79" s="34" t="b">
        <f t="shared" si="47"/>
        <v>0</v>
      </c>
      <c r="AG79" s="34" t="b">
        <f t="shared" si="47"/>
        <v>0</v>
      </c>
      <c r="AH79" s="34" t="b">
        <f t="shared" si="47"/>
        <v>0</v>
      </c>
      <c r="AI79" s="34" t="b">
        <f t="shared" si="47"/>
        <v>0</v>
      </c>
      <c r="AJ79" s="34" t="b">
        <f t="shared" si="47"/>
        <v>0</v>
      </c>
      <c r="AK79" s="34" t="b">
        <f t="shared" si="47"/>
        <v>0</v>
      </c>
      <c r="AL79" s="34" t="b">
        <f t="shared" si="47"/>
        <v>0</v>
      </c>
      <c r="AM79" s="34" t="b">
        <f t="shared" si="47"/>
        <v>0</v>
      </c>
      <c r="AN79" s="34" t="b">
        <f t="shared" si="47"/>
        <v>0</v>
      </c>
      <c r="AO79" s="34" t="b">
        <f t="shared" si="47"/>
        <v>0</v>
      </c>
      <c r="AP79" s="34" t="b">
        <f t="shared" si="47"/>
        <v>0</v>
      </c>
      <c r="AQ79" s="34" t="b">
        <f t="shared" si="47"/>
        <v>0</v>
      </c>
      <c r="AR79" s="34" t="b">
        <f t="shared" si="47"/>
        <v>0</v>
      </c>
      <c r="AS79" s="34" t="b">
        <f t="shared" si="47"/>
        <v>0</v>
      </c>
    </row>
    <row r="80" spans="3:45" outlineLevel="1" x14ac:dyDescent="0.35">
      <c r="D80" s="36" t="s">
        <v>184</v>
      </c>
      <c r="E80" s="33" t="s">
        <v>90</v>
      </c>
      <c r="F80" s="40"/>
      <c r="G80" s="36"/>
      <c r="H80" s="36"/>
      <c r="I80" s="36"/>
      <c r="J80" s="37">
        <f>J76+J77+J78-J79</f>
        <v>11685000</v>
      </c>
      <c r="K80" s="37">
        <f t="shared" ref="K80:AS80" si="48">K76+K77+K78-K79</f>
        <v>6762839.6625000006</v>
      </c>
      <c r="L80" s="37">
        <f t="shared" si="48"/>
        <v>3096405.5305625014</v>
      </c>
      <c r="M80" s="37">
        <f t="shared" si="48"/>
        <v>785220.96098093875</v>
      </c>
      <c r="N80" s="37">
        <f t="shared" si="48"/>
        <v>0</v>
      </c>
      <c r="O80" s="37">
        <f t="shared" si="48"/>
        <v>0</v>
      </c>
      <c r="P80" s="37">
        <f t="shared" si="48"/>
        <v>0</v>
      </c>
      <c r="Q80" s="37">
        <f t="shared" si="48"/>
        <v>0</v>
      </c>
      <c r="R80" s="37">
        <f t="shared" si="48"/>
        <v>0</v>
      </c>
      <c r="S80" s="37">
        <f t="shared" si="48"/>
        <v>0</v>
      </c>
      <c r="T80" s="37">
        <f t="shared" si="48"/>
        <v>0</v>
      </c>
      <c r="U80" s="37">
        <f t="shared" si="48"/>
        <v>0</v>
      </c>
      <c r="V80" s="37">
        <f t="shared" si="48"/>
        <v>0</v>
      </c>
      <c r="W80" s="37">
        <f t="shared" si="48"/>
        <v>0</v>
      </c>
      <c r="X80" s="37">
        <f t="shared" si="48"/>
        <v>0</v>
      </c>
      <c r="Y80" s="37">
        <f t="shared" si="48"/>
        <v>0</v>
      </c>
      <c r="Z80" s="37">
        <f t="shared" si="48"/>
        <v>0</v>
      </c>
      <c r="AA80" s="37">
        <f t="shared" si="48"/>
        <v>0</v>
      </c>
      <c r="AB80" s="37">
        <f t="shared" si="48"/>
        <v>0</v>
      </c>
      <c r="AC80" s="37">
        <f t="shared" si="48"/>
        <v>0</v>
      </c>
      <c r="AD80" s="37">
        <f t="shared" si="48"/>
        <v>0</v>
      </c>
      <c r="AE80" s="37">
        <f t="shared" si="48"/>
        <v>0</v>
      </c>
      <c r="AF80" s="37">
        <f t="shared" si="48"/>
        <v>0</v>
      </c>
      <c r="AG80" s="37">
        <f t="shared" si="48"/>
        <v>0</v>
      </c>
      <c r="AH80" s="37">
        <f t="shared" si="48"/>
        <v>0</v>
      </c>
      <c r="AI80" s="37">
        <f t="shared" si="48"/>
        <v>0</v>
      </c>
      <c r="AJ80" s="37">
        <f t="shared" si="48"/>
        <v>0</v>
      </c>
      <c r="AK80" s="37">
        <f t="shared" si="48"/>
        <v>0</v>
      </c>
      <c r="AL80" s="37">
        <f t="shared" si="48"/>
        <v>0</v>
      </c>
      <c r="AM80" s="37">
        <f t="shared" si="48"/>
        <v>0</v>
      </c>
      <c r="AN80" s="37">
        <f t="shared" si="48"/>
        <v>0</v>
      </c>
      <c r="AO80" s="37">
        <f t="shared" si="48"/>
        <v>0</v>
      </c>
      <c r="AP80" s="37">
        <f t="shared" si="48"/>
        <v>0</v>
      </c>
      <c r="AQ80" s="37">
        <f t="shared" si="48"/>
        <v>0</v>
      </c>
      <c r="AR80" s="37">
        <f t="shared" si="48"/>
        <v>0</v>
      </c>
      <c r="AS80" s="37">
        <f t="shared" si="48"/>
        <v>0</v>
      </c>
    </row>
    <row r="81" spans="4:45" outlineLevel="1" x14ac:dyDescent="0.35">
      <c r="D81" s="33" t="s">
        <v>183</v>
      </c>
      <c r="I81" s="21">
        <f>SUM(K81:XFD81)</f>
        <v>2784192.5859809387</v>
      </c>
      <c r="J81" s="34">
        <f>MIN(J80,J67)</f>
        <v>0</v>
      </c>
      <c r="K81" s="34">
        <f t="shared" ref="K81:AS81" si="49">MIN(K80,K67)</f>
        <v>1004675</v>
      </c>
      <c r="L81" s="34">
        <f t="shared" si="49"/>
        <v>994296.625</v>
      </c>
      <c r="M81" s="34">
        <f t="shared" si="49"/>
        <v>785220.96098093875</v>
      </c>
      <c r="N81" s="34">
        <f t="shared" si="49"/>
        <v>0</v>
      </c>
      <c r="O81" s="34">
        <f t="shared" si="49"/>
        <v>0</v>
      </c>
      <c r="P81" s="34">
        <f t="shared" si="49"/>
        <v>0</v>
      </c>
      <c r="Q81" s="34">
        <f t="shared" si="49"/>
        <v>0</v>
      </c>
      <c r="R81" s="34">
        <f t="shared" si="49"/>
        <v>0</v>
      </c>
      <c r="S81" s="34">
        <f t="shared" si="49"/>
        <v>0</v>
      </c>
      <c r="T81" s="34">
        <f t="shared" si="49"/>
        <v>0</v>
      </c>
      <c r="U81" s="34">
        <f t="shared" si="49"/>
        <v>0</v>
      </c>
      <c r="V81" s="34">
        <f t="shared" si="49"/>
        <v>0</v>
      </c>
      <c r="W81" s="34">
        <f t="shared" si="49"/>
        <v>0</v>
      </c>
      <c r="X81" s="34">
        <f t="shared" si="49"/>
        <v>0</v>
      </c>
      <c r="Y81" s="34">
        <f t="shared" si="49"/>
        <v>0</v>
      </c>
      <c r="Z81" s="34">
        <f t="shared" si="49"/>
        <v>0</v>
      </c>
      <c r="AA81" s="34">
        <f t="shared" si="49"/>
        <v>0</v>
      </c>
      <c r="AB81" s="34">
        <f t="shared" si="49"/>
        <v>0</v>
      </c>
      <c r="AC81" s="34">
        <f t="shared" si="49"/>
        <v>0</v>
      </c>
      <c r="AD81" s="34">
        <f t="shared" si="49"/>
        <v>0</v>
      </c>
      <c r="AE81" s="34">
        <f t="shared" si="49"/>
        <v>0</v>
      </c>
      <c r="AF81" s="34">
        <f t="shared" si="49"/>
        <v>0</v>
      </c>
      <c r="AG81" s="34">
        <f t="shared" si="49"/>
        <v>0</v>
      </c>
      <c r="AH81" s="34">
        <f t="shared" si="49"/>
        <v>0</v>
      </c>
      <c r="AI81" s="34">
        <f t="shared" si="49"/>
        <v>0</v>
      </c>
      <c r="AJ81" s="34">
        <f t="shared" si="49"/>
        <v>0</v>
      </c>
      <c r="AK81" s="34">
        <f t="shared" si="49"/>
        <v>0</v>
      </c>
      <c r="AL81" s="34">
        <f t="shared" si="49"/>
        <v>0</v>
      </c>
      <c r="AM81" s="34">
        <f t="shared" si="49"/>
        <v>0</v>
      </c>
      <c r="AN81" s="34">
        <f t="shared" si="49"/>
        <v>0</v>
      </c>
      <c r="AO81" s="34">
        <f t="shared" si="49"/>
        <v>0</v>
      </c>
      <c r="AP81" s="34">
        <f t="shared" si="49"/>
        <v>0</v>
      </c>
      <c r="AQ81" s="34">
        <f t="shared" si="49"/>
        <v>0</v>
      </c>
      <c r="AR81" s="34">
        <f t="shared" si="49"/>
        <v>0</v>
      </c>
      <c r="AS81" s="34">
        <f t="shared" si="49"/>
        <v>0</v>
      </c>
    </row>
    <row r="82" spans="4:45" outlineLevel="1" x14ac:dyDescent="0.35">
      <c r="D82" s="36" t="s">
        <v>177</v>
      </c>
      <c r="E82" s="33" t="s">
        <v>90</v>
      </c>
      <c r="F82" s="36"/>
      <c r="G82" s="36"/>
      <c r="H82" s="36"/>
      <c r="I82" s="36"/>
      <c r="J82" s="37">
        <f>J80-J81</f>
        <v>11685000</v>
      </c>
      <c r="K82" s="37">
        <f t="shared" ref="K82:AS82" si="50">K80-K81</f>
        <v>5758164.6625000006</v>
      </c>
      <c r="L82" s="37">
        <f t="shared" si="50"/>
        <v>2102108.9055625014</v>
      </c>
      <c r="M82" s="37">
        <f t="shared" si="50"/>
        <v>0</v>
      </c>
      <c r="N82" s="37">
        <f t="shared" si="50"/>
        <v>0</v>
      </c>
      <c r="O82" s="37">
        <f t="shared" si="50"/>
        <v>0</v>
      </c>
      <c r="P82" s="37">
        <f t="shared" si="50"/>
        <v>0</v>
      </c>
      <c r="Q82" s="37">
        <f t="shared" si="50"/>
        <v>0</v>
      </c>
      <c r="R82" s="37">
        <f t="shared" si="50"/>
        <v>0</v>
      </c>
      <c r="S82" s="37">
        <f t="shared" si="50"/>
        <v>0</v>
      </c>
      <c r="T82" s="37">
        <f t="shared" si="50"/>
        <v>0</v>
      </c>
      <c r="U82" s="37">
        <f t="shared" si="50"/>
        <v>0</v>
      </c>
      <c r="V82" s="37">
        <f t="shared" si="50"/>
        <v>0</v>
      </c>
      <c r="W82" s="37">
        <f t="shared" si="50"/>
        <v>0</v>
      </c>
      <c r="X82" s="37">
        <f t="shared" si="50"/>
        <v>0</v>
      </c>
      <c r="Y82" s="37">
        <f t="shared" si="50"/>
        <v>0</v>
      </c>
      <c r="Z82" s="37">
        <f t="shared" si="50"/>
        <v>0</v>
      </c>
      <c r="AA82" s="37">
        <f t="shared" si="50"/>
        <v>0</v>
      </c>
      <c r="AB82" s="37">
        <f t="shared" si="50"/>
        <v>0</v>
      </c>
      <c r="AC82" s="37">
        <f t="shared" si="50"/>
        <v>0</v>
      </c>
      <c r="AD82" s="37">
        <f t="shared" si="50"/>
        <v>0</v>
      </c>
      <c r="AE82" s="37">
        <f t="shared" si="50"/>
        <v>0</v>
      </c>
      <c r="AF82" s="37">
        <f t="shared" si="50"/>
        <v>0</v>
      </c>
      <c r="AG82" s="37">
        <f t="shared" si="50"/>
        <v>0</v>
      </c>
      <c r="AH82" s="37">
        <f t="shared" si="50"/>
        <v>0</v>
      </c>
      <c r="AI82" s="37">
        <f t="shared" si="50"/>
        <v>0</v>
      </c>
      <c r="AJ82" s="37">
        <f t="shared" si="50"/>
        <v>0</v>
      </c>
      <c r="AK82" s="37">
        <f t="shared" si="50"/>
        <v>0</v>
      </c>
      <c r="AL82" s="37">
        <f t="shared" si="50"/>
        <v>0</v>
      </c>
      <c r="AM82" s="37">
        <f t="shared" si="50"/>
        <v>0</v>
      </c>
      <c r="AN82" s="37">
        <f t="shared" si="50"/>
        <v>0</v>
      </c>
      <c r="AO82" s="37">
        <f t="shared" si="50"/>
        <v>0</v>
      </c>
      <c r="AP82" s="37">
        <f t="shared" si="50"/>
        <v>0</v>
      </c>
      <c r="AQ82" s="37">
        <f t="shared" si="50"/>
        <v>0</v>
      </c>
      <c r="AR82" s="37">
        <f t="shared" si="50"/>
        <v>0</v>
      </c>
      <c r="AS82" s="37">
        <f t="shared" si="50"/>
        <v>0</v>
      </c>
    </row>
    <row r="83" spans="4:45" outlineLevel="1" x14ac:dyDescent="0.35"/>
    <row r="84" spans="4:45" outlineLevel="1" x14ac:dyDescent="0.35">
      <c r="D84" s="33" t="s">
        <v>179</v>
      </c>
      <c r="E84" s="33" t="s">
        <v>90</v>
      </c>
      <c r="J84" s="34">
        <f>J81+J79-J78</f>
        <v>-11685000</v>
      </c>
      <c r="K84" s="34">
        <f t="shared" ref="K84:AS84" si="51">K81+K79-K78</f>
        <v>6744785.3374999994</v>
      </c>
      <c r="L84" s="34">
        <f t="shared" si="51"/>
        <v>4059127.2833124995</v>
      </c>
      <c r="M84" s="34">
        <f>M81+M79-M78</f>
        <v>2249256.5289518763</v>
      </c>
      <c r="N84" s="34">
        <f t="shared" si="51"/>
        <v>0</v>
      </c>
      <c r="O84" s="34">
        <f t="shared" si="51"/>
        <v>0</v>
      </c>
      <c r="P84" s="34">
        <f t="shared" si="51"/>
        <v>0</v>
      </c>
      <c r="Q84" s="34">
        <f t="shared" si="51"/>
        <v>0</v>
      </c>
      <c r="R84" s="34">
        <f t="shared" si="51"/>
        <v>0</v>
      </c>
      <c r="S84" s="34">
        <f t="shared" si="51"/>
        <v>0</v>
      </c>
      <c r="T84" s="34">
        <f t="shared" si="51"/>
        <v>0</v>
      </c>
      <c r="U84" s="34">
        <f t="shared" si="51"/>
        <v>0</v>
      </c>
      <c r="V84" s="34">
        <f t="shared" si="51"/>
        <v>0</v>
      </c>
      <c r="W84" s="34">
        <f t="shared" si="51"/>
        <v>0</v>
      </c>
      <c r="X84" s="34">
        <f t="shared" si="51"/>
        <v>0</v>
      </c>
      <c r="Y84" s="34">
        <f t="shared" si="51"/>
        <v>0</v>
      </c>
      <c r="Z84" s="34">
        <f t="shared" si="51"/>
        <v>0</v>
      </c>
      <c r="AA84" s="34">
        <f t="shared" si="51"/>
        <v>0</v>
      </c>
      <c r="AB84" s="34">
        <f t="shared" si="51"/>
        <v>0</v>
      </c>
      <c r="AC84" s="34">
        <f t="shared" si="51"/>
        <v>0</v>
      </c>
      <c r="AD84" s="34">
        <f t="shared" si="51"/>
        <v>0</v>
      </c>
      <c r="AE84" s="34">
        <f t="shared" si="51"/>
        <v>0</v>
      </c>
      <c r="AF84" s="34">
        <f t="shared" si="51"/>
        <v>0</v>
      </c>
      <c r="AG84" s="34">
        <f t="shared" si="51"/>
        <v>0</v>
      </c>
      <c r="AH84" s="34">
        <f t="shared" si="51"/>
        <v>0</v>
      </c>
      <c r="AI84" s="34">
        <f t="shared" si="51"/>
        <v>0</v>
      </c>
      <c r="AJ84" s="34">
        <f t="shared" si="51"/>
        <v>0</v>
      </c>
      <c r="AK84" s="34">
        <f t="shared" si="51"/>
        <v>0</v>
      </c>
      <c r="AL84" s="34">
        <f t="shared" si="51"/>
        <v>0</v>
      </c>
      <c r="AM84" s="34">
        <f t="shared" si="51"/>
        <v>0</v>
      </c>
      <c r="AN84" s="34">
        <f t="shared" si="51"/>
        <v>0</v>
      </c>
      <c r="AO84" s="34">
        <f t="shared" si="51"/>
        <v>0</v>
      </c>
      <c r="AP84" s="34">
        <f t="shared" si="51"/>
        <v>0</v>
      </c>
      <c r="AQ84" s="34">
        <f t="shared" si="51"/>
        <v>0</v>
      </c>
      <c r="AR84" s="34">
        <f t="shared" si="51"/>
        <v>0</v>
      </c>
      <c r="AS84" s="34">
        <f t="shared" si="51"/>
        <v>0</v>
      </c>
    </row>
    <row r="85" spans="4:45" outlineLevel="1" x14ac:dyDescent="0.35">
      <c r="D85" s="33" t="s">
        <v>180</v>
      </c>
      <c r="E85" s="33" t="s">
        <v>60</v>
      </c>
      <c r="F85" s="38">
        <f>IFERROR(IRR(J84:AS84,-0.01),FALSE)</f>
        <v>7.0000000000000062E-2</v>
      </c>
    </row>
    <row r="86" spans="4:45" outlineLevel="1" x14ac:dyDescent="0.35"/>
    <row r="87" spans="4:45" outlineLevel="1" x14ac:dyDescent="0.35">
      <c r="D87" s="33" t="s">
        <v>181</v>
      </c>
      <c r="E87" s="33" t="s">
        <v>60</v>
      </c>
      <c r="J87" s="38" t="b">
        <f>IF(J62,J81/J62)</f>
        <v>0</v>
      </c>
      <c r="K87" s="38">
        <f t="shared" ref="K87:AS87" si="52">IF(K62,K81/K62)</f>
        <v>0.2</v>
      </c>
      <c r="L87" s="38">
        <f t="shared" si="52"/>
        <v>0.2</v>
      </c>
      <c r="M87" s="38">
        <f t="shared" si="52"/>
        <v>0.15961997301667141</v>
      </c>
      <c r="N87" s="38">
        <f t="shared" si="52"/>
        <v>0</v>
      </c>
      <c r="O87" s="38">
        <f t="shared" si="52"/>
        <v>0</v>
      </c>
      <c r="P87" s="38">
        <f t="shared" si="52"/>
        <v>0</v>
      </c>
      <c r="Q87" s="38">
        <f t="shared" si="52"/>
        <v>0</v>
      </c>
      <c r="R87" s="38">
        <f t="shared" si="52"/>
        <v>0</v>
      </c>
      <c r="S87" s="38">
        <f t="shared" si="52"/>
        <v>0</v>
      </c>
      <c r="T87" s="38">
        <f t="shared" si="52"/>
        <v>0</v>
      </c>
      <c r="U87" s="38">
        <f t="shared" si="52"/>
        <v>0</v>
      </c>
      <c r="V87" s="38">
        <f t="shared" si="52"/>
        <v>0</v>
      </c>
      <c r="W87" s="38">
        <f t="shared" si="52"/>
        <v>0</v>
      </c>
      <c r="X87" s="38">
        <f t="shared" si="52"/>
        <v>0</v>
      </c>
      <c r="Y87" s="38">
        <f t="shared" si="52"/>
        <v>0</v>
      </c>
      <c r="Z87" s="38">
        <f t="shared" si="52"/>
        <v>0</v>
      </c>
      <c r="AA87" s="38">
        <f t="shared" si="52"/>
        <v>0</v>
      </c>
      <c r="AB87" s="38">
        <f t="shared" si="52"/>
        <v>0</v>
      </c>
      <c r="AC87" s="38">
        <f t="shared" si="52"/>
        <v>0</v>
      </c>
      <c r="AD87" s="38">
        <f t="shared" si="52"/>
        <v>0</v>
      </c>
      <c r="AE87" s="38">
        <f t="shared" si="52"/>
        <v>0</v>
      </c>
      <c r="AF87" s="38">
        <f t="shared" si="52"/>
        <v>0</v>
      </c>
      <c r="AG87" s="38">
        <f t="shared" si="52"/>
        <v>0</v>
      </c>
      <c r="AH87" s="38">
        <f t="shared" si="52"/>
        <v>0</v>
      </c>
      <c r="AI87" s="38">
        <f t="shared" si="52"/>
        <v>0</v>
      </c>
      <c r="AJ87" s="38">
        <f t="shared" si="52"/>
        <v>0</v>
      </c>
      <c r="AK87" s="38">
        <f t="shared" si="52"/>
        <v>0</v>
      </c>
      <c r="AL87" s="38">
        <f t="shared" si="52"/>
        <v>0</v>
      </c>
      <c r="AM87" s="38">
        <f t="shared" si="52"/>
        <v>0</v>
      </c>
      <c r="AN87" s="38">
        <f t="shared" si="52"/>
        <v>0</v>
      </c>
      <c r="AO87" s="38">
        <f t="shared" si="52"/>
        <v>0</v>
      </c>
      <c r="AP87" s="38">
        <f t="shared" si="52"/>
        <v>0</v>
      </c>
      <c r="AQ87" s="38">
        <f t="shared" si="52"/>
        <v>0</v>
      </c>
      <c r="AR87" s="38">
        <f t="shared" si="52"/>
        <v>0</v>
      </c>
      <c r="AS87" s="38">
        <f t="shared" si="52"/>
        <v>0</v>
      </c>
    </row>
    <row r="88" spans="4:45" outlineLevel="1" x14ac:dyDescent="0.35">
      <c r="D88" s="33" t="s">
        <v>187</v>
      </c>
      <c r="E88" s="33" t="s">
        <v>60</v>
      </c>
      <c r="F88" s="35">
        <f>G21</f>
        <v>0.2</v>
      </c>
      <c r="K88" s="38">
        <f>K87/$F$88</f>
        <v>1</v>
      </c>
      <c r="L88" s="38">
        <f t="shared" ref="L88:AS88" si="53">L87/$F$88</f>
        <v>1</v>
      </c>
      <c r="M88" s="38">
        <f t="shared" si="53"/>
        <v>0.79809986508335706</v>
      </c>
      <c r="N88" s="38">
        <f t="shared" si="53"/>
        <v>0</v>
      </c>
      <c r="O88" s="38">
        <f t="shared" si="53"/>
        <v>0</v>
      </c>
      <c r="P88" s="38">
        <f t="shared" si="53"/>
        <v>0</v>
      </c>
      <c r="Q88" s="38">
        <f t="shared" si="53"/>
        <v>0</v>
      </c>
      <c r="R88" s="38">
        <f t="shared" si="53"/>
        <v>0</v>
      </c>
      <c r="S88" s="38">
        <f t="shared" si="53"/>
        <v>0</v>
      </c>
      <c r="T88" s="38">
        <f t="shared" si="53"/>
        <v>0</v>
      </c>
      <c r="U88" s="38">
        <f t="shared" si="53"/>
        <v>0</v>
      </c>
      <c r="V88" s="38">
        <f t="shared" si="53"/>
        <v>0</v>
      </c>
      <c r="W88" s="38">
        <f t="shared" si="53"/>
        <v>0</v>
      </c>
      <c r="X88" s="38">
        <f t="shared" si="53"/>
        <v>0</v>
      </c>
      <c r="Y88" s="38">
        <f t="shared" si="53"/>
        <v>0</v>
      </c>
      <c r="Z88" s="38">
        <f t="shared" si="53"/>
        <v>0</v>
      </c>
      <c r="AA88" s="38">
        <f t="shared" si="53"/>
        <v>0</v>
      </c>
      <c r="AB88" s="38">
        <f t="shared" si="53"/>
        <v>0</v>
      </c>
      <c r="AC88" s="38">
        <f t="shared" si="53"/>
        <v>0</v>
      </c>
      <c r="AD88" s="38">
        <f t="shared" si="53"/>
        <v>0</v>
      </c>
      <c r="AE88" s="38">
        <f t="shared" si="53"/>
        <v>0</v>
      </c>
      <c r="AF88" s="38">
        <f t="shared" si="53"/>
        <v>0</v>
      </c>
      <c r="AG88" s="38">
        <f t="shared" si="53"/>
        <v>0</v>
      </c>
      <c r="AH88" s="38">
        <f t="shared" si="53"/>
        <v>0</v>
      </c>
      <c r="AI88" s="38">
        <f t="shared" si="53"/>
        <v>0</v>
      </c>
      <c r="AJ88" s="38">
        <f t="shared" si="53"/>
        <v>0</v>
      </c>
      <c r="AK88" s="38">
        <f t="shared" si="53"/>
        <v>0</v>
      </c>
      <c r="AL88" s="38">
        <f t="shared" si="53"/>
        <v>0</v>
      </c>
      <c r="AM88" s="38">
        <f t="shared" si="53"/>
        <v>0</v>
      </c>
      <c r="AN88" s="38">
        <f t="shared" si="53"/>
        <v>0</v>
      </c>
      <c r="AO88" s="38">
        <f t="shared" si="53"/>
        <v>0</v>
      </c>
      <c r="AP88" s="38">
        <f t="shared" si="53"/>
        <v>0</v>
      </c>
      <c r="AQ88" s="38">
        <f t="shared" si="53"/>
        <v>0</v>
      </c>
      <c r="AR88" s="38">
        <f t="shared" si="53"/>
        <v>0</v>
      </c>
      <c r="AS88" s="38">
        <f t="shared" si="53"/>
        <v>0</v>
      </c>
    </row>
    <row r="89" spans="4:45" outlineLevel="1" x14ac:dyDescent="0.35">
      <c r="D89" s="33" t="s">
        <v>186</v>
      </c>
      <c r="E89" s="33" t="s">
        <v>60</v>
      </c>
      <c r="F89" s="35">
        <f>G22</f>
        <v>0.8</v>
      </c>
      <c r="I89" s="34"/>
      <c r="K89" s="38">
        <f>$F$89*K88</f>
        <v>0.8</v>
      </c>
      <c r="L89" s="38">
        <f t="shared" ref="L89:AS89" si="54">$F$89*L88</f>
        <v>0.8</v>
      </c>
      <c r="M89" s="38">
        <f t="shared" si="54"/>
        <v>0.63847989206668565</v>
      </c>
      <c r="N89" s="38">
        <f t="shared" si="54"/>
        <v>0</v>
      </c>
      <c r="O89" s="38">
        <f t="shared" si="54"/>
        <v>0</v>
      </c>
      <c r="P89" s="38">
        <f t="shared" si="54"/>
        <v>0</v>
      </c>
      <c r="Q89" s="38">
        <f t="shared" si="54"/>
        <v>0</v>
      </c>
      <c r="R89" s="38">
        <f t="shared" si="54"/>
        <v>0</v>
      </c>
      <c r="S89" s="38">
        <f t="shared" si="54"/>
        <v>0</v>
      </c>
      <c r="T89" s="38">
        <f t="shared" si="54"/>
        <v>0</v>
      </c>
      <c r="U89" s="38">
        <f t="shared" si="54"/>
        <v>0</v>
      </c>
      <c r="V89" s="38">
        <f t="shared" si="54"/>
        <v>0</v>
      </c>
      <c r="W89" s="38">
        <f t="shared" si="54"/>
        <v>0</v>
      </c>
      <c r="X89" s="38">
        <f t="shared" si="54"/>
        <v>0</v>
      </c>
      <c r="Y89" s="38">
        <f t="shared" si="54"/>
        <v>0</v>
      </c>
      <c r="Z89" s="38">
        <f t="shared" si="54"/>
        <v>0</v>
      </c>
      <c r="AA89" s="38">
        <f t="shared" si="54"/>
        <v>0</v>
      </c>
      <c r="AB89" s="38">
        <f t="shared" si="54"/>
        <v>0</v>
      </c>
      <c r="AC89" s="38">
        <f t="shared" si="54"/>
        <v>0</v>
      </c>
      <c r="AD89" s="38">
        <f t="shared" si="54"/>
        <v>0</v>
      </c>
      <c r="AE89" s="38">
        <f t="shared" si="54"/>
        <v>0</v>
      </c>
      <c r="AF89" s="38">
        <f t="shared" si="54"/>
        <v>0</v>
      </c>
      <c r="AG89" s="38">
        <f t="shared" si="54"/>
        <v>0</v>
      </c>
      <c r="AH89" s="38">
        <f t="shared" si="54"/>
        <v>0</v>
      </c>
      <c r="AI89" s="38">
        <f t="shared" si="54"/>
        <v>0</v>
      </c>
      <c r="AJ89" s="38">
        <f t="shared" si="54"/>
        <v>0</v>
      </c>
      <c r="AK89" s="38">
        <f t="shared" si="54"/>
        <v>0</v>
      </c>
      <c r="AL89" s="38">
        <f t="shared" si="54"/>
        <v>0</v>
      </c>
      <c r="AM89" s="38">
        <f t="shared" si="54"/>
        <v>0</v>
      </c>
      <c r="AN89" s="38">
        <f t="shared" si="54"/>
        <v>0</v>
      </c>
      <c r="AO89" s="38">
        <f t="shared" si="54"/>
        <v>0</v>
      </c>
      <c r="AP89" s="38">
        <f t="shared" si="54"/>
        <v>0</v>
      </c>
      <c r="AQ89" s="38">
        <f t="shared" si="54"/>
        <v>0</v>
      </c>
      <c r="AR89" s="38">
        <f t="shared" si="54"/>
        <v>0</v>
      </c>
      <c r="AS89" s="38">
        <f t="shared" si="54"/>
        <v>0</v>
      </c>
    </row>
    <row r="90" spans="4:45" outlineLevel="1" x14ac:dyDescent="0.35">
      <c r="D90" s="33" t="s">
        <v>192</v>
      </c>
      <c r="E90" s="33" t="s">
        <v>90</v>
      </c>
      <c r="F90" s="35"/>
      <c r="I90" s="21">
        <f>SUM(K90:XFD90)</f>
        <v>11136770.343923755</v>
      </c>
      <c r="K90" s="34">
        <f>K89*K62</f>
        <v>4018700</v>
      </c>
      <c r="L90" s="34">
        <f t="shared" ref="L90:AS90" si="55">L89*L62</f>
        <v>3977186.5</v>
      </c>
      <c r="M90" s="34">
        <f t="shared" si="55"/>
        <v>3140883.843923755</v>
      </c>
      <c r="N90" s="34">
        <f t="shared" si="55"/>
        <v>0</v>
      </c>
      <c r="O90" s="34">
        <f t="shared" si="55"/>
        <v>0</v>
      </c>
      <c r="P90" s="34">
        <f t="shared" si="55"/>
        <v>0</v>
      </c>
      <c r="Q90" s="34">
        <f t="shared" si="55"/>
        <v>0</v>
      </c>
      <c r="R90" s="34">
        <f t="shared" si="55"/>
        <v>0</v>
      </c>
      <c r="S90" s="34">
        <f t="shared" si="55"/>
        <v>0</v>
      </c>
      <c r="T90" s="34">
        <f t="shared" si="55"/>
        <v>0</v>
      </c>
      <c r="U90" s="34">
        <f t="shared" si="55"/>
        <v>0</v>
      </c>
      <c r="V90" s="34">
        <f t="shared" si="55"/>
        <v>0</v>
      </c>
      <c r="W90" s="34">
        <f t="shared" si="55"/>
        <v>0</v>
      </c>
      <c r="X90" s="34">
        <f t="shared" si="55"/>
        <v>0</v>
      </c>
      <c r="Y90" s="34">
        <f t="shared" si="55"/>
        <v>0</v>
      </c>
      <c r="Z90" s="34">
        <f t="shared" si="55"/>
        <v>0</v>
      </c>
      <c r="AA90" s="34">
        <f t="shared" si="55"/>
        <v>0</v>
      </c>
      <c r="AB90" s="34">
        <f t="shared" si="55"/>
        <v>0</v>
      </c>
      <c r="AC90" s="34">
        <f t="shared" si="55"/>
        <v>0</v>
      </c>
      <c r="AD90" s="34">
        <f t="shared" si="55"/>
        <v>0</v>
      </c>
      <c r="AE90" s="34">
        <f t="shared" si="55"/>
        <v>0</v>
      </c>
      <c r="AF90" s="34">
        <f t="shared" si="55"/>
        <v>0</v>
      </c>
      <c r="AG90" s="34">
        <f t="shared" si="55"/>
        <v>0</v>
      </c>
      <c r="AH90" s="34">
        <f t="shared" si="55"/>
        <v>0</v>
      </c>
      <c r="AI90" s="34">
        <f t="shared" si="55"/>
        <v>0</v>
      </c>
      <c r="AJ90" s="34">
        <f t="shared" si="55"/>
        <v>0</v>
      </c>
      <c r="AK90" s="34">
        <f t="shared" si="55"/>
        <v>0</v>
      </c>
      <c r="AL90" s="34">
        <f t="shared" si="55"/>
        <v>0</v>
      </c>
      <c r="AM90" s="34">
        <f t="shared" si="55"/>
        <v>0</v>
      </c>
      <c r="AN90" s="34">
        <f t="shared" si="55"/>
        <v>0</v>
      </c>
      <c r="AO90" s="34">
        <f t="shared" si="55"/>
        <v>0</v>
      </c>
      <c r="AP90" s="34">
        <f t="shared" si="55"/>
        <v>0</v>
      </c>
      <c r="AQ90" s="34">
        <f t="shared" si="55"/>
        <v>0</v>
      </c>
      <c r="AR90" s="34">
        <f t="shared" si="55"/>
        <v>0</v>
      </c>
      <c r="AS90" s="34">
        <f t="shared" si="55"/>
        <v>0</v>
      </c>
    </row>
    <row r="91" spans="4:45" outlineLevel="1" x14ac:dyDescent="0.35"/>
    <row r="92" spans="4:45" outlineLevel="1" x14ac:dyDescent="0.35">
      <c r="D92" s="33" t="s">
        <v>190</v>
      </c>
      <c r="E92" s="33" t="s">
        <v>90</v>
      </c>
      <c r="J92" s="34">
        <f>J90+J81</f>
        <v>0</v>
      </c>
      <c r="K92" s="34">
        <f>K90+K81</f>
        <v>5023375</v>
      </c>
      <c r="L92" s="34">
        <f t="shared" ref="L92:AS92" si="56">L90+L81</f>
        <v>4971483.125</v>
      </c>
      <c r="M92" s="34">
        <f t="shared" si="56"/>
        <v>3926104.8049046937</v>
      </c>
      <c r="N92" s="34">
        <f t="shared" si="56"/>
        <v>0</v>
      </c>
      <c r="O92" s="34">
        <f t="shared" si="56"/>
        <v>0</v>
      </c>
      <c r="P92" s="34">
        <f t="shared" si="56"/>
        <v>0</v>
      </c>
      <c r="Q92" s="34">
        <f t="shared" si="56"/>
        <v>0</v>
      </c>
      <c r="R92" s="34">
        <f t="shared" si="56"/>
        <v>0</v>
      </c>
      <c r="S92" s="34">
        <f t="shared" si="56"/>
        <v>0</v>
      </c>
      <c r="T92" s="34">
        <f t="shared" si="56"/>
        <v>0</v>
      </c>
      <c r="U92" s="34">
        <f t="shared" si="56"/>
        <v>0</v>
      </c>
      <c r="V92" s="34">
        <f t="shared" si="56"/>
        <v>0</v>
      </c>
      <c r="W92" s="34">
        <f t="shared" si="56"/>
        <v>0</v>
      </c>
      <c r="X92" s="34">
        <f t="shared" si="56"/>
        <v>0</v>
      </c>
      <c r="Y92" s="34">
        <f t="shared" si="56"/>
        <v>0</v>
      </c>
      <c r="Z92" s="34">
        <f t="shared" si="56"/>
        <v>0</v>
      </c>
      <c r="AA92" s="34">
        <f t="shared" si="56"/>
        <v>0</v>
      </c>
      <c r="AB92" s="34">
        <f t="shared" si="56"/>
        <v>0</v>
      </c>
      <c r="AC92" s="34">
        <f t="shared" si="56"/>
        <v>0</v>
      </c>
      <c r="AD92" s="34">
        <f t="shared" si="56"/>
        <v>0</v>
      </c>
      <c r="AE92" s="34">
        <f t="shared" si="56"/>
        <v>0</v>
      </c>
      <c r="AF92" s="34">
        <f t="shared" si="56"/>
        <v>0</v>
      </c>
      <c r="AG92" s="34">
        <f t="shared" si="56"/>
        <v>0</v>
      </c>
      <c r="AH92" s="34">
        <f t="shared" si="56"/>
        <v>0</v>
      </c>
      <c r="AI92" s="34">
        <f t="shared" si="56"/>
        <v>0</v>
      </c>
      <c r="AJ92" s="34">
        <f t="shared" si="56"/>
        <v>0</v>
      </c>
      <c r="AK92" s="34">
        <f t="shared" si="56"/>
        <v>0</v>
      </c>
      <c r="AL92" s="34">
        <f t="shared" si="56"/>
        <v>0</v>
      </c>
      <c r="AM92" s="34">
        <f t="shared" si="56"/>
        <v>0</v>
      </c>
      <c r="AN92" s="34">
        <f t="shared" si="56"/>
        <v>0</v>
      </c>
      <c r="AO92" s="34">
        <f t="shared" si="56"/>
        <v>0</v>
      </c>
      <c r="AP92" s="34">
        <f t="shared" si="56"/>
        <v>0</v>
      </c>
      <c r="AQ92" s="34">
        <f t="shared" si="56"/>
        <v>0</v>
      </c>
      <c r="AR92" s="34">
        <f t="shared" si="56"/>
        <v>0</v>
      </c>
      <c r="AS92" s="34">
        <f t="shared" si="56"/>
        <v>0</v>
      </c>
    </row>
    <row r="93" spans="4:45" outlineLevel="1" x14ac:dyDescent="0.35">
      <c r="D93" s="33" t="s">
        <v>191</v>
      </c>
      <c r="E93" s="33" t="s">
        <v>90</v>
      </c>
      <c r="J93" s="34">
        <f>J88*J52</f>
        <v>0</v>
      </c>
      <c r="K93" s="34">
        <f>K88*K52</f>
        <v>-27609958.333333332</v>
      </c>
      <c r="L93" s="34">
        <f t="shared" ref="L93:AS93" si="57">L88*L52</f>
        <v>-14741850.208333332</v>
      </c>
      <c r="M93" s="34">
        <f t="shared" si="57"/>
        <v>-5620233.7146457015</v>
      </c>
      <c r="N93" s="34">
        <f t="shared" si="57"/>
        <v>0</v>
      </c>
      <c r="O93" s="34">
        <f t="shared" si="57"/>
        <v>0</v>
      </c>
      <c r="P93" s="34">
        <f t="shared" si="57"/>
        <v>0</v>
      </c>
      <c r="Q93" s="34">
        <f t="shared" si="57"/>
        <v>0</v>
      </c>
      <c r="R93" s="34">
        <f t="shared" si="57"/>
        <v>0</v>
      </c>
      <c r="S93" s="34">
        <f t="shared" si="57"/>
        <v>0</v>
      </c>
      <c r="T93" s="34">
        <f t="shared" si="57"/>
        <v>0</v>
      </c>
      <c r="U93" s="34">
        <f t="shared" si="57"/>
        <v>0</v>
      </c>
      <c r="V93" s="34">
        <f t="shared" si="57"/>
        <v>0</v>
      </c>
      <c r="W93" s="34">
        <f t="shared" si="57"/>
        <v>0</v>
      </c>
      <c r="X93" s="34">
        <f t="shared" si="57"/>
        <v>0</v>
      </c>
      <c r="Y93" s="34">
        <f t="shared" si="57"/>
        <v>0</v>
      </c>
      <c r="Z93" s="34">
        <f t="shared" si="57"/>
        <v>0</v>
      </c>
      <c r="AA93" s="34">
        <f t="shared" si="57"/>
        <v>0</v>
      </c>
      <c r="AB93" s="34">
        <f t="shared" si="57"/>
        <v>0</v>
      </c>
      <c r="AC93" s="34">
        <f t="shared" si="57"/>
        <v>0</v>
      </c>
      <c r="AD93" s="34">
        <f t="shared" si="57"/>
        <v>0</v>
      </c>
      <c r="AE93" s="34">
        <f t="shared" si="57"/>
        <v>0</v>
      </c>
      <c r="AF93" s="34">
        <f t="shared" si="57"/>
        <v>0</v>
      </c>
      <c r="AG93" s="34">
        <f t="shared" si="57"/>
        <v>0</v>
      </c>
      <c r="AH93" s="34">
        <f t="shared" si="57"/>
        <v>0</v>
      </c>
      <c r="AI93" s="34">
        <f t="shared" si="57"/>
        <v>0</v>
      </c>
      <c r="AJ93" s="34">
        <f t="shared" si="57"/>
        <v>0</v>
      </c>
      <c r="AK93" s="34">
        <f t="shared" si="57"/>
        <v>0</v>
      </c>
      <c r="AL93" s="34">
        <f t="shared" si="57"/>
        <v>0</v>
      </c>
      <c r="AM93" s="34">
        <f t="shared" si="57"/>
        <v>0</v>
      </c>
      <c r="AN93" s="34">
        <f t="shared" si="57"/>
        <v>0</v>
      </c>
      <c r="AO93" s="34">
        <f t="shared" si="57"/>
        <v>0</v>
      </c>
      <c r="AP93" s="34">
        <f t="shared" si="57"/>
        <v>0</v>
      </c>
      <c r="AQ93" s="34">
        <f t="shared" si="57"/>
        <v>0</v>
      </c>
      <c r="AR93" s="34">
        <f t="shared" si="57"/>
        <v>0</v>
      </c>
      <c r="AS93" s="34">
        <f t="shared" si="57"/>
        <v>0</v>
      </c>
    </row>
    <row r="94" spans="4:45" outlineLevel="1" x14ac:dyDescent="0.35"/>
    <row r="95" spans="4:45" outlineLevel="1" x14ac:dyDescent="0.35">
      <c r="D95" s="33" t="s">
        <v>206</v>
      </c>
      <c r="E95" s="33" t="s">
        <v>90</v>
      </c>
      <c r="J95" s="34">
        <f>J62-J92</f>
        <v>0</v>
      </c>
      <c r="K95" s="34">
        <f>K62-K92</f>
        <v>0</v>
      </c>
      <c r="L95" s="34">
        <f t="shared" ref="L95:AS95" si="58">L62-L92</f>
        <v>0</v>
      </c>
      <c r="M95" s="34">
        <f t="shared" si="58"/>
        <v>993210.40447030589</v>
      </c>
      <c r="N95" s="34">
        <f t="shared" si="58"/>
        <v>4866861.9233281258</v>
      </c>
      <c r="O95" s="34">
        <f t="shared" si="58"/>
        <v>4814113.7695114845</v>
      </c>
      <c r="P95" s="34">
        <f t="shared" si="58"/>
        <v>4761061.079579927</v>
      </c>
      <c r="Q95" s="34">
        <f t="shared" si="58"/>
        <v>4707694.0106763486</v>
      </c>
      <c r="R95" s="34">
        <f t="shared" si="58"/>
        <v>4654002.5418471722</v>
      </c>
      <c r="S95" s="34">
        <f t="shared" si="58"/>
        <v>4599976.4703866262</v>
      </c>
      <c r="T95" s="34">
        <f t="shared" si="58"/>
        <v>4545605.4081083573</v>
      </c>
      <c r="U95" s="34">
        <f t="shared" si="58"/>
        <v>4490878.7775429534</v>
      </c>
      <c r="V95" s="34">
        <f t="shared" si="58"/>
        <v>4435785.8080598786</v>
      </c>
      <c r="W95" s="34">
        <f t="shared" si="58"/>
        <v>4380315.5319123119</v>
      </c>
      <c r="X95" s="34">
        <f t="shared" si="58"/>
        <v>4324456.7802033387</v>
      </c>
      <c r="Y95" s="34">
        <f t="shared" si="58"/>
        <v>4268198.1787719224</v>
      </c>
      <c r="Z95" s="34">
        <f t="shared" si="58"/>
        <v>4211528.1439970536</v>
      </c>
      <c r="AA95" s="34">
        <f t="shared" si="58"/>
        <v>4154434.8785184389</v>
      </c>
      <c r="AB95" s="34">
        <f t="shared" si="58"/>
        <v>4096906.3668720461</v>
      </c>
      <c r="AC95" s="34">
        <f t="shared" si="58"/>
        <v>4038930.3710388094</v>
      </c>
      <c r="AD95" s="34">
        <f t="shared" si="58"/>
        <v>3980494.4259047606</v>
      </c>
      <c r="AE95" s="34">
        <f t="shared" si="58"/>
        <v>5496738.8334089816</v>
      </c>
      <c r="AF95" s="34">
        <f t="shared" si="58"/>
        <v>5429468.8977146167</v>
      </c>
      <c r="AG95" s="34">
        <f t="shared" si="58"/>
        <v>5361739.5868681762</v>
      </c>
      <c r="AH95" s="34">
        <f t="shared" si="58"/>
        <v>5293537.283248811</v>
      </c>
      <c r="AI95" s="34">
        <f t="shared" si="58"/>
        <v>5224848.1190338433</v>
      </c>
      <c r="AJ95" s="34">
        <f t="shared" si="58"/>
        <v>5155657.9710839754</v>
      </c>
      <c r="AK95" s="34">
        <f t="shared" si="58"/>
        <v>5085952.4557267623</v>
      </c>
      <c r="AL95" s="34">
        <f t="shared" si="58"/>
        <v>5015716.9234362999</v>
      </c>
      <c r="AM95" s="34">
        <f t="shared" si="58"/>
        <v>4944936.453407052</v>
      </c>
      <c r="AN95" s="34">
        <f t="shared" si="58"/>
        <v>4873595.8480197098</v>
      </c>
      <c r="AO95" s="34">
        <f t="shared" si="58"/>
        <v>4801679.6271968987</v>
      </c>
      <c r="AP95" s="34">
        <f t="shared" si="58"/>
        <v>4729172.0226465464</v>
      </c>
      <c r="AQ95" s="34">
        <f t="shared" si="58"/>
        <v>4656056.9719906589</v>
      </c>
      <c r="AR95" s="34">
        <f t="shared" si="58"/>
        <v>4582318.1127771977</v>
      </c>
      <c r="AS95" s="34">
        <f t="shared" si="58"/>
        <v>4507938.7763727345</v>
      </c>
    </row>
    <row r="96" spans="4:45" outlineLevel="1" x14ac:dyDescent="0.35">
      <c r="D96" s="33" t="s">
        <v>207</v>
      </c>
      <c r="E96" s="33" t="s">
        <v>90</v>
      </c>
      <c r="J96" s="34">
        <f>J63-J93</f>
        <v>0</v>
      </c>
      <c r="K96" s="34">
        <f>K63-K93</f>
        <v>0</v>
      </c>
      <c r="L96" s="34">
        <f t="shared" ref="L96:AS96" si="59">L63-L93</f>
        <v>0</v>
      </c>
      <c r="M96" s="34">
        <f t="shared" si="59"/>
        <v>-1421784.4093126329</v>
      </c>
      <c r="N96" s="34">
        <f t="shared" si="59"/>
        <v>-4187471.4100052081</v>
      </c>
      <c r="O96" s="34">
        <f t="shared" si="59"/>
        <v>-4240219.5638218494</v>
      </c>
      <c r="P96" s="34">
        <f t="shared" si="59"/>
        <v>4427727.746246594</v>
      </c>
      <c r="Q96" s="34">
        <f t="shared" si="59"/>
        <v>4374360.6773430156</v>
      </c>
      <c r="R96" s="34">
        <f t="shared" si="59"/>
        <v>4320669.2085138392</v>
      </c>
      <c r="S96" s="34">
        <f t="shared" si="59"/>
        <v>4266643.1370532932</v>
      </c>
      <c r="T96" s="34">
        <f t="shared" si="59"/>
        <v>4212272.0747750243</v>
      </c>
      <c r="U96" s="34">
        <f t="shared" si="59"/>
        <v>4157545.4442096199</v>
      </c>
      <c r="V96" s="34">
        <f t="shared" si="59"/>
        <v>4102452.4747265452</v>
      </c>
      <c r="W96" s="34">
        <f t="shared" si="59"/>
        <v>4046982.1985789784</v>
      </c>
      <c r="X96" s="34">
        <f t="shared" si="59"/>
        <v>3991123.4468700052</v>
      </c>
      <c r="Y96" s="34">
        <f t="shared" si="59"/>
        <v>3934864.8454385889</v>
      </c>
      <c r="Z96" s="34">
        <f t="shared" si="59"/>
        <v>4211528.1439970536</v>
      </c>
      <c r="AA96" s="34">
        <f t="shared" si="59"/>
        <v>4154434.8785184389</v>
      </c>
      <c r="AB96" s="34">
        <f t="shared" si="59"/>
        <v>4096906.3668720461</v>
      </c>
      <c r="AC96" s="34">
        <f t="shared" si="59"/>
        <v>4038930.3710388094</v>
      </c>
      <c r="AD96" s="34">
        <f t="shared" si="59"/>
        <v>3980494.4259047606</v>
      </c>
      <c r="AE96" s="34">
        <f t="shared" si="59"/>
        <v>5496738.8334089816</v>
      </c>
      <c r="AF96" s="34">
        <f t="shared" si="59"/>
        <v>5429468.8977146167</v>
      </c>
      <c r="AG96" s="34">
        <f t="shared" si="59"/>
        <v>5361739.5868681762</v>
      </c>
      <c r="AH96" s="34">
        <f t="shared" si="59"/>
        <v>5293537.283248811</v>
      </c>
      <c r="AI96" s="34">
        <f t="shared" si="59"/>
        <v>5224848.1190338433</v>
      </c>
      <c r="AJ96" s="34">
        <f t="shared" si="59"/>
        <v>5155657.9710839754</v>
      </c>
      <c r="AK96" s="34">
        <f t="shared" si="59"/>
        <v>5085952.4557267623</v>
      </c>
      <c r="AL96" s="34">
        <f t="shared" si="59"/>
        <v>5015716.9234362999</v>
      </c>
      <c r="AM96" s="34">
        <f t="shared" si="59"/>
        <v>4944936.453407052</v>
      </c>
      <c r="AN96" s="34">
        <f t="shared" si="59"/>
        <v>4873595.8480197098</v>
      </c>
      <c r="AO96" s="34">
        <f t="shared" si="59"/>
        <v>4801679.6271968987</v>
      </c>
      <c r="AP96" s="34">
        <f t="shared" si="59"/>
        <v>4729172.0226465464</v>
      </c>
      <c r="AQ96" s="34">
        <f t="shared" si="59"/>
        <v>4656056.9719906589</v>
      </c>
      <c r="AR96" s="34">
        <f t="shared" si="59"/>
        <v>4582318.1127771977</v>
      </c>
      <c r="AS96" s="34">
        <f t="shared" si="59"/>
        <v>4507938.7763727345</v>
      </c>
    </row>
    <row r="97" spans="2:1006" outlineLevel="1" x14ac:dyDescent="0.35"/>
    <row r="98" spans="2:1006" x14ac:dyDescent="0.35">
      <c r="B98" s="28" t="s">
        <v>208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8"/>
      <c r="JK98" s="28"/>
      <c r="JL98" s="28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  <c r="KD98" s="28"/>
      <c r="KE98" s="28"/>
      <c r="KF98" s="28"/>
      <c r="KG98" s="28"/>
      <c r="KH98" s="28"/>
      <c r="KI98" s="28"/>
      <c r="KJ98" s="28"/>
      <c r="KK98" s="28"/>
      <c r="KL98" s="28"/>
      <c r="KM98" s="28"/>
      <c r="KN98" s="28"/>
      <c r="KO98" s="28"/>
      <c r="KP98" s="28"/>
      <c r="KQ98" s="28"/>
      <c r="KR98" s="28"/>
      <c r="KS98" s="28"/>
      <c r="KT98" s="28"/>
      <c r="KU98" s="28"/>
      <c r="KV98" s="28"/>
      <c r="KW98" s="28"/>
      <c r="KX98" s="28"/>
      <c r="KY98" s="28"/>
      <c r="KZ98" s="28"/>
      <c r="LA98" s="28"/>
      <c r="LB98" s="28"/>
      <c r="LC98" s="28"/>
      <c r="LD98" s="28"/>
      <c r="LE98" s="28"/>
      <c r="LF98" s="28"/>
      <c r="LG98" s="28"/>
      <c r="LH98" s="28"/>
      <c r="LI98" s="28"/>
      <c r="LJ98" s="28"/>
      <c r="LK98" s="28"/>
      <c r="LL98" s="28"/>
      <c r="LM98" s="28"/>
      <c r="LN98" s="28"/>
      <c r="LO98" s="28"/>
      <c r="LP98" s="28"/>
      <c r="LQ98" s="28"/>
      <c r="LR98" s="28"/>
      <c r="LS98" s="28"/>
      <c r="LT98" s="28"/>
      <c r="LU98" s="28"/>
      <c r="LV98" s="28"/>
      <c r="LW98" s="28"/>
      <c r="LX98" s="28"/>
      <c r="LY98" s="28"/>
      <c r="LZ98" s="28"/>
      <c r="MA98" s="28"/>
      <c r="MB98" s="28"/>
      <c r="MC98" s="28"/>
      <c r="MD98" s="28"/>
      <c r="ME98" s="28"/>
      <c r="MF98" s="28"/>
      <c r="MG98" s="28"/>
      <c r="MH98" s="28"/>
      <c r="MI98" s="28"/>
      <c r="MJ98" s="28"/>
      <c r="MK98" s="28"/>
      <c r="ML98" s="28"/>
      <c r="MM98" s="28"/>
      <c r="MN98" s="28"/>
      <c r="MO98" s="28"/>
      <c r="MP98" s="28"/>
      <c r="MQ98" s="28"/>
      <c r="MR98" s="28"/>
      <c r="MS98" s="28"/>
      <c r="MT98" s="28"/>
      <c r="MU98" s="28"/>
      <c r="MV98" s="28"/>
      <c r="MW98" s="28"/>
      <c r="MX98" s="28"/>
      <c r="MY98" s="28"/>
      <c r="MZ98" s="28"/>
      <c r="NA98" s="28"/>
      <c r="NB98" s="28"/>
      <c r="NC98" s="28"/>
      <c r="ND98" s="28"/>
      <c r="NE98" s="28"/>
      <c r="NF98" s="28"/>
      <c r="NG98" s="28"/>
      <c r="NH98" s="28"/>
      <c r="NI98" s="28"/>
      <c r="NJ98" s="28"/>
      <c r="NK98" s="28"/>
      <c r="NL98" s="28"/>
      <c r="NM98" s="28"/>
      <c r="NN98" s="28"/>
      <c r="NO98" s="28"/>
      <c r="NP98" s="28"/>
      <c r="NQ98" s="28"/>
      <c r="NR98" s="28"/>
      <c r="NS98" s="28"/>
      <c r="NT98" s="28"/>
      <c r="NU98" s="28"/>
      <c r="NV98" s="28"/>
      <c r="NW98" s="28"/>
      <c r="NX98" s="28"/>
      <c r="NY98" s="28"/>
      <c r="NZ98" s="28"/>
      <c r="OA98" s="28"/>
      <c r="OB98" s="28"/>
      <c r="OC98" s="28"/>
      <c r="OD98" s="28"/>
      <c r="OE98" s="28"/>
      <c r="OF98" s="28"/>
      <c r="OG98" s="28"/>
      <c r="OH98" s="28"/>
      <c r="OI98" s="28"/>
      <c r="OJ98" s="28"/>
      <c r="OK98" s="28"/>
      <c r="OL98" s="28"/>
      <c r="OM98" s="28"/>
      <c r="ON98" s="28"/>
      <c r="OO98" s="28"/>
      <c r="OP98" s="28"/>
      <c r="OQ98" s="28"/>
      <c r="OR98" s="28"/>
      <c r="OS98" s="28"/>
      <c r="OT98" s="28"/>
      <c r="OU98" s="28"/>
      <c r="OV98" s="28"/>
      <c r="OW98" s="28"/>
      <c r="OX98" s="28"/>
      <c r="OY98" s="28"/>
      <c r="OZ98" s="28"/>
      <c r="PA98" s="28"/>
      <c r="PB98" s="28"/>
      <c r="PC98" s="28"/>
      <c r="PD98" s="28"/>
      <c r="PE98" s="28"/>
      <c r="PF98" s="28"/>
      <c r="PG98" s="28"/>
      <c r="PH98" s="28"/>
      <c r="PI98" s="28"/>
      <c r="PJ98" s="28"/>
      <c r="PK98" s="28"/>
      <c r="PL98" s="28"/>
      <c r="PM98" s="28"/>
      <c r="PN98" s="28"/>
      <c r="PO98" s="28"/>
      <c r="PP98" s="28"/>
      <c r="PQ98" s="28"/>
      <c r="PR98" s="28"/>
      <c r="PS98" s="28"/>
      <c r="PT98" s="28"/>
      <c r="PU98" s="28"/>
      <c r="PV98" s="28"/>
      <c r="PW98" s="28"/>
      <c r="PX98" s="28"/>
      <c r="PY98" s="28"/>
      <c r="PZ98" s="28"/>
      <c r="QA98" s="28"/>
      <c r="QB98" s="28"/>
      <c r="QC98" s="28"/>
      <c r="QD98" s="28"/>
      <c r="QE98" s="28"/>
      <c r="QF98" s="28"/>
      <c r="QG98" s="28"/>
      <c r="QH98" s="28"/>
      <c r="QI98" s="28"/>
      <c r="QJ98" s="28"/>
      <c r="QK98" s="28"/>
      <c r="QL98" s="28"/>
      <c r="QM98" s="28"/>
      <c r="QN98" s="28"/>
      <c r="QO98" s="28"/>
      <c r="QP98" s="28"/>
      <c r="QQ98" s="28"/>
      <c r="QR98" s="28"/>
      <c r="QS98" s="28"/>
      <c r="QT98" s="28"/>
      <c r="QU98" s="28"/>
      <c r="QV98" s="28"/>
      <c r="QW98" s="28"/>
      <c r="QX98" s="28"/>
      <c r="QY98" s="28"/>
      <c r="QZ98" s="28"/>
      <c r="RA98" s="28"/>
      <c r="RB98" s="28"/>
      <c r="RC98" s="28"/>
      <c r="RD98" s="28"/>
      <c r="RE98" s="28"/>
      <c r="RF98" s="28"/>
      <c r="RG98" s="28"/>
      <c r="RH98" s="28"/>
      <c r="RI98" s="28"/>
      <c r="RJ98" s="28"/>
      <c r="RK98" s="28"/>
      <c r="RL98" s="28"/>
      <c r="RM98" s="28"/>
      <c r="RN98" s="28"/>
      <c r="RO98" s="28"/>
      <c r="RP98" s="28"/>
      <c r="RQ98" s="28"/>
      <c r="RR98" s="28"/>
      <c r="RS98" s="28"/>
      <c r="RT98" s="28"/>
      <c r="RU98" s="28"/>
      <c r="RV98" s="28"/>
      <c r="RW98" s="28"/>
      <c r="RX98" s="28"/>
      <c r="RY98" s="28"/>
      <c r="RZ98" s="28"/>
      <c r="SA98" s="28"/>
      <c r="SB98" s="28"/>
      <c r="SC98" s="28"/>
      <c r="SD98" s="28"/>
      <c r="SE98" s="28"/>
      <c r="SF98" s="28"/>
      <c r="SG98" s="28"/>
      <c r="SH98" s="28"/>
      <c r="SI98" s="28"/>
      <c r="SJ98" s="28"/>
      <c r="SK98" s="28"/>
      <c r="SL98" s="28"/>
      <c r="SM98" s="28"/>
      <c r="SN98" s="28"/>
      <c r="SO98" s="28"/>
      <c r="SP98" s="28"/>
      <c r="SQ98" s="28"/>
      <c r="SR98" s="28"/>
      <c r="SS98" s="28"/>
      <c r="ST98" s="28"/>
      <c r="SU98" s="28"/>
      <c r="SV98" s="28"/>
      <c r="SW98" s="28"/>
      <c r="SX98" s="28"/>
      <c r="SY98" s="28"/>
      <c r="SZ98" s="28"/>
      <c r="TA98" s="28"/>
      <c r="TB98" s="28"/>
      <c r="TC98" s="28"/>
      <c r="TD98" s="28"/>
      <c r="TE98" s="28"/>
      <c r="TF98" s="28"/>
      <c r="TG98" s="28"/>
      <c r="TH98" s="28"/>
      <c r="TI98" s="28"/>
      <c r="TJ98" s="28"/>
      <c r="TK98" s="28"/>
      <c r="TL98" s="28"/>
      <c r="TM98" s="28"/>
      <c r="TN98" s="28"/>
      <c r="TO98" s="28"/>
      <c r="TP98" s="28"/>
      <c r="TQ98" s="28"/>
      <c r="TR98" s="28"/>
      <c r="TS98" s="28"/>
      <c r="TT98" s="28"/>
      <c r="TU98" s="28"/>
      <c r="TV98" s="28"/>
      <c r="TW98" s="28"/>
      <c r="TX98" s="28"/>
      <c r="TY98" s="28"/>
      <c r="TZ98" s="28"/>
      <c r="UA98" s="28"/>
      <c r="UB98" s="28"/>
      <c r="UC98" s="28"/>
      <c r="UD98" s="28"/>
      <c r="UE98" s="28"/>
      <c r="UF98" s="28"/>
      <c r="UG98" s="28"/>
      <c r="UH98" s="28"/>
      <c r="UI98" s="28"/>
      <c r="UJ98" s="28"/>
      <c r="UK98" s="28"/>
      <c r="UL98" s="28"/>
      <c r="UM98" s="28"/>
      <c r="UN98" s="28"/>
      <c r="UO98" s="28"/>
      <c r="UP98" s="28"/>
      <c r="UQ98" s="28"/>
      <c r="UR98" s="28"/>
      <c r="US98" s="28"/>
      <c r="UT98" s="28"/>
      <c r="UU98" s="28"/>
      <c r="UV98" s="28"/>
      <c r="UW98" s="28"/>
      <c r="UX98" s="28"/>
      <c r="UY98" s="28"/>
      <c r="UZ98" s="28"/>
      <c r="VA98" s="28"/>
      <c r="VB98" s="28"/>
      <c r="VC98" s="28"/>
      <c r="VD98" s="28"/>
      <c r="VE98" s="28"/>
      <c r="VF98" s="28"/>
      <c r="VG98" s="28"/>
      <c r="VH98" s="28"/>
      <c r="VI98" s="28"/>
      <c r="VJ98" s="28"/>
      <c r="VK98" s="28"/>
      <c r="VL98" s="28"/>
      <c r="VM98" s="28"/>
      <c r="VN98" s="28"/>
      <c r="VO98" s="28"/>
      <c r="VP98" s="28"/>
      <c r="VQ98" s="28"/>
      <c r="VR98" s="28"/>
      <c r="VS98" s="28"/>
      <c r="VT98" s="28"/>
      <c r="VU98" s="28"/>
      <c r="VV98" s="28"/>
      <c r="VW98" s="28"/>
      <c r="VX98" s="28"/>
      <c r="VY98" s="28"/>
      <c r="VZ98" s="28"/>
      <c r="WA98" s="28"/>
      <c r="WB98" s="28"/>
      <c r="WC98" s="28"/>
      <c r="WD98" s="28"/>
      <c r="WE98" s="28"/>
      <c r="WF98" s="28"/>
      <c r="WG98" s="28"/>
      <c r="WH98" s="28"/>
      <c r="WI98" s="28"/>
      <c r="WJ98" s="28"/>
      <c r="WK98" s="28"/>
      <c r="WL98" s="28"/>
      <c r="WM98" s="28"/>
      <c r="WN98" s="28"/>
      <c r="WO98" s="28"/>
      <c r="WP98" s="28"/>
      <c r="WQ98" s="28"/>
      <c r="WR98" s="28"/>
      <c r="WS98" s="28"/>
      <c r="WT98" s="28"/>
      <c r="WU98" s="28"/>
      <c r="WV98" s="28"/>
      <c r="WW98" s="28"/>
      <c r="WX98" s="28"/>
      <c r="WY98" s="28"/>
      <c r="WZ98" s="28"/>
      <c r="XA98" s="28"/>
      <c r="XB98" s="28"/>
      <c r="XC98" s="28"/>
      <c r="XD98" s="28"/>
      <c r="XE98" s="28"/>
      <c r="XF98" s="28"/>
      <c r="XG98" s="28"/>
      <c r="XH98" s="28"/>
      <c r="XI98" s="28"/>
      <c r="XJ98" s="28"/>
      <c r="XK98" s="28"/>
      <c r="XL98" s="28"/>
      <c r="XM98" s="28"/>
      <c r="XN98" s="28"/>
      <c r="XO98" s="28"/>
      <c r="XP98" s="28"/>
      <c r="XQ98" s="28"/>
      <c r="XR98" s="28"/>
      <c r="XS98" s="28"/>
      <c r="XT98" s="28"/>
      <c r="XU98" s="28"/>
      <c r="XV98" s="28"/>
      <c r="XW98" s="28"/>
      <c r="XX98" s="28"/>
      <c r="XY98" s="28"/>
      <c r="XZ98" s="28"/>
      <c r="YA98" s="28"/>
      <c r="YB98" s="28"/>
      <c r="YC98" s="28"/>
      <c r="YD98" s="28"/>
      <c r="YE98" s="28"/>
      <c r="YF98" s="28"/>
      <c r="YG98" s="28"/>
      <c r="YH98" s="28"/>
      <c r="YI98" s="28"/>
      <c r="YJ98" s="28"/>
      <c r="YK98" s="28"/>
      <c r="YL98" s="28"/>
      <c r="YM98" s="28"/>
      <c r="YN98" s="28"/>
      <c r="YO98" s="28"/>
      <c r="YP98" s="28"/>
      <c r="YQ98" s="28"/>
      <c r="YR98" s="28"/>
      <c r="YS98" s="28"/>
      <c r="YT98" s="28"/>
      <c r="YU98" s="28"/>
      <c r="YV98" s="28"/>
      <c r="YW98" s="28"/>
      <c r="YX98" s="28"/>
      <c r="YY98" s="28"/>
      <c r="YZ98" s="28"/>
      <c r="ZA98" s="28"/>
      <c r="ZB98" s="28"/>
      <c r="ZC98" s="28"/>
      <c r="ZD98" s="28"/>
      <c r="ZE98" s="28"/>
      <c r="ZF98" s="28"/>
      <c r="ZG98" s="28"/>
      <c r="ZH98" s="28"/>
      <c r="ZI98" s="28"/>
      <c r="ZJ98" s="28"/>
      <c r="ZK98" s="28"/>
      <c r="ZL98" s="28"/>
      <c r="ZM98" s="28"/>
      <c r="ZN98" s="28"/>
      <c r="ZO98" s="28"/>
      <c r="ZP98" s="28"/>
      <c r="ZQ98" s="28"/>
      <c r="ZR98" s="28"/>
      <c r="ZS98" s="28"/>
      <c r="ZT98" s="28"/>
      <c r="ZU98" s="28"/>
      <c r="ZV98" s="28"/>
      <c r="ZW98" s="28"/>
      <c r="ZX98" s="28"/>
      <c r="ZY98" s="28"/>
      <c r="ZZ98" s="28"/>
      <c r="AAA98" s="28"/>
      <c r="AAB98" s="28"/>
      <c r="AAC98" s="28"/>
      <c r="AAD98" s="28"/>
      <c r="AAE98" s="28"/>
      <c r="AAF98" s="28"/>
      <c r="AAG98" s="28"/>
      <c r="AAH98" s="28"/>
      <c r="AAI98" s="28"/>
      <c r="AAJ98" s="28"/>
      <c r="AAK98" s="28"/>
      <c r="AAL98" s="28"/>
      <c r="AAM98" s="28"/>
      <c r="AAN98" s="28"/>
      <c r="AAO98" s="28"/>
      <c r="AAP98" s="28"/>
      <c r="AAQ98" s="28"/>
      <c r="AAR98" s="28"/>
      <c r="AAS98" s="28"/>
      <c r="AAT98" s="28"/>
      <c r="AAU98" s="28"/>
      <c r="AAV98" s="28"/>
      <c r="AAW98" s="28"/>
      <c r="AAX98" s="28"/>
      <c r="AAY98" s="28"/>
      <c r="AAZ98" s="28"/>
      <c r="ABA98" s="28"/>
      <c r="ABB98" s="28"/>
      <c r="ABC98" s="28"/>
      <c r="ABD98" s="28"/>
      <c r="ABE98" s="28"/>
      <c r="ABF98" s="28"/>
      <c r="ABG98" s="28"/>
      <c r="ABH98" s="28"/>
      <c r="ABI98" s="28"/>
      <c r="ABJ98" s="28"/>
      <c r="ABK98" s="28"/>
      <c r="ABL98" s="28"/>
      <c r="ABM98" s="28"/>
      <c r="ABN98" s="28"/>
      <c r="ABO98" s="28"/>
      <c r="ABP98" s="28"/>
      <c r="ABQ98" s="28"/>
      <c r="ABR98" s="28"/>
      <c r="ABS98" s="28"/>
      <c r="ABT98" s="28"/>
      <c r="ABU98" s="28"/>
      <c r="ABV98" s="28"/>
      <c r="ABW98" s="28"/>
      <c r="ABX98" s="28"/>
      <c r="ABY98" s="28"/>
      <c r="ABZ98" s="28"/>
      <c r="ACA98" s="28"/>
      <c r="ACB98" s="28"/>
      <c r="ACC98" s="28"/>
      <c r="ACD98" s="28"/>
      <c r="ACE98" s="28"/>
      <c r="ACF98" s="28"/>
      <c r="ACG98" s="28"/>
      <c r="ACH98" s="28"/>
      <c r="ACI98" s="28"/>
      <c r="ACJ98" s="28"/>
      <c r="ACK98" s="28"/>
      <c r="ACL98" s="28"/>
      <c r="ACM98" s="28"/>
      <c r="ACN98" s="28"/>
      <c r="ACO98" s="28"/>
      <c r="ACP98" s="28"/>
      <c r="ACQ98" s="28"/>
      <c r="ACR98" s="28"/>
      <c r="ACS98" s="28"/>
      <c r="ACT98" s="28"/>
      <c r="ACU98" s="28"/>
      <c r="ACV98" s="28"/>
      <c r="ACW98" s="28"/>
      <c r="ACX98" s="28"/>
      <c r="ACY98" s="28"/>
      <c r="ACZ98" s="28"/>
      <c r="ADA98" s="28"/>
      <c r="ADB98" s="28"/>
      <c r="ADC98" s="28"/>
      <c r="ADD98" s="28"/>
      <c r="ADE98" s="28"/>
      <c r="ADF98" s="28"/>
      <c r="ADG98" s="28"/>
      <c r="ADH98" s="28"/>
      <c r="ADI98" s="28"/>
      <c r="ADJ98" s="28"/>
      <c r="ADK98" s="28"/>
      <c r="ADL98" s="28"/>
      <c r="ADM98" s="28"/>
      <c r="ADN98" s="28"/>
      <c r="ADO98" s="28"/>
      <c r="ADP98" s="28"/>
      <c r="ADQ98" s="28"/>
      <c r="ADR98" s="28"/>
      <c r="ADS98" s="28"/>
      <c r="ADT98" s="28"/>
      <c r="ADU98" s="28"/>
      <c r="ADV98" s="28"/>
      <c r="ADW98" s="28"/>
      <c r="ADX98" s="28"/>
      <c r="ADY98" s="28"/>
      <c r="ADZ98" s="28"/>
      <c r="AEA98" s="28"/>
      <c r="AEB98" s="28"/>
      <c r="AEC98" s="28"/>
      <c r="AED98" s="28"/>
      <c r="AEE98" s="28"/>
      <c r="AEF98" s="28"/>
      <c r="AEG98" s="28"/>
      <c r="AEH98" s="28"/>
      <c r="AEI98" s="28"/>
      <c r="AEJ98" s="28"/>
      <c r="AEK98" s="28"/>
      <c r="AEL98" s="28"/>
      <c r="AEM98" s="28"/>
      <c r="AEN98" s="28"/>
      <c r="AEO98" s="28"/>
      <c r="AEP98" s="28"/>
      <c r="AEQ98" s="28"/>
      <c r="AER98" s="28"/>
      <c r="AES98" s="28"/>
      <c r="AET98" s="28"/>
      <c r="AEU98" s="28"/>
      <c r="AEV98" s="28"/>
      <c r="AEW98" s="28"/>
      <c r="AEX98" s="28"/>
      <c r="AEY98" s="28"/>
      <c r="AEZ98" s="28"/>
      <c r="AFA98" s="28"/>
      <c r="AFB98" s="28"/>
      <c r="AFC98" s="28"/>
      <c r="AFD98" s="28"/>
      <c r="AFE98" s="28"/>
      <c r="AFF98" s="28"/>
      <c r="AFG98" s="28"/>
      <c r="AFH98" s="28"/>
      <c r="AFI98" s="28"/>
      <c r="AFJ98" s="28"/>
      <c r="AFK98" s="28"/>
      <c r="AFL98" s="28"/>
      <c r="AFM98" s="28"/>
      <c r="AFN98" s="28"/>
      <c r="AFO98" s="28"/>
      <c r="AFP98" s="28"/>
      <c r="AFQ98" s="28"/>
      <c r="AFR98" s="28"/>
      <c r="AFS98" s="28"/>
      <c r="AFT98" s="28"/>
      <c r="AFU98" s="28"/>
      <c r="AFV98" s="28"/>
      <c r="AFW98" s="28"/>
      <c r="AFX98" s="28"/>
      <c r="AFY98" s="28"/>
      <c r="AFZ98" s="28"/>
      <c r="AGA98" s="28"/>
      <c r="AGB98" s="28"/>
      <c r="AGC98" s="28"/>
      <c r="AGD98" s="28"/>
      <c r="AGE98" s="28"/>
      <c r="AGF98" s="28"/>
      <c r="AGG98" s="28"/>
      <c r="AGH98" s="28"/>
      <c r="AGI98" s="28"/>
      <c r="AGJ98" s="28"/>
      <c r="AGK98" s="28"/>
      <c r="AGL98" s="28"/>
      <c r="AGM98" s="28"/>
      <c r="AGN98" s="28"/>
      <c r="AGO98" s="28"/>
      <c r="AGP98" s="28"/>
      <c r="AGQ98" s="28"/>
      <c r="AGR98" s="28"/>
      <c r="AGS98" s="28"/>
      <c r="AGT98" s="28"/>
      <c r="AGU98" s="28"/>
      <c r="AGV98" s="28"/>
      <c r="AGW98" s="28"/>
      <c r="AGX98" s="28"/>
      <c r="AGY98" s="28"/>
      <c r="AGZ98" s="28"/>
      <c r="AHA98" s="28"/>
      <c r="AHB98" s="28"/>
      <c r="AHC98" s="28"/>
      <c r="AHD98" s="28"/>
      <c r="AHE98" s="28"/>
      <c r="AHF98" s="28"/>
      <c r="AHG98" s="28"/>
      <c r="AHH98" s="28"/>
      <c r="AHI98" s="28"/>
      <c r="AHJ98" s="28"/>
      <c r="AHK98" s="28"/>
      <c r="AHL98" s="28"/>
      <c r="AHM98" s="28"/>
      <c r="AHN98" s="28"/>
      <c r="AHO98" s="28"/>
      <c r="AHP98" s="28"/>
      <c r="AHQ98" s="28"/>
      <c r="AHR98" s="28"/>
      <c r="AHS98" s="28"/>
      <c r="AHT98" s="28"/>
      <c r="AHU98" s="28"/>
      <c r="AHV98" s="28"/>
      <c r="AHW98" s="28"/>
      <c r="AHX98" s="28"/>
      <c r="AHY98" s="28"/>
      <c r="AHZ98" s="28"/>
      <c r="AIA98" s="28"/>
      <c r="AIB98" s="28"/>
      <c r="AIC98" s="28"/>
      <c r="AID98" s="28"/>
      <c r="AIE98" s="28"/>
      <c r="AIF98" s="28"/>
      <c r="AIG98" s="28"/>
      <c r="AIH98" s="28"/>
      <c r="AII98" s="28"/>
      <c r="AIJ98" s="28"/>
      <c r="AIK98" s="28"/>
      <c r="AIL98" s="28"/>
      <c r="AIM98" s="28"/>
      <c r="AIN98" s="28"/>
      <c r="AIO98" s="28"/>
      <c r="AIP98" s="28"/>
      <c r="AIQ98" s="28"/>
      <c r="AIR98" s="28"/>
      <c r="AIS98" s="28"/>
      <c r="AIT98" s="28"/>
      <c r="AIU98" s="28"/>
      <c r="AIV98" s="28"/>
      <c r="AIW98" s="28"/>
      <c r="AIX98" s="28"/>
      <c r="AIY98" s="28"/>
      <c r="AIZ98" s="28"/>
      <c r="AJA98" s="28"/>
      <c r="AJB98" s="28"/>
      <c r="AJC98" s="28"/>
      <c r="AJD98" s="28"/>
      <c r="AJE98" s="28"/>
      <c r="AJF98" s="28"/>
      <c r="AJG98" s="28"/>
      <c r="AJH98" s="28"/>
      <c r="AJI98" s="28"/>
      <c r="AJJ98" s="28"/>
      <c r="AJK98" s="28"/>
      <c r="AJL98" s="28"/>
      <c r="AJM98" s="28"/>
      <c r="AJN98" s="28"/>
      <c r="AJO98" s="28"/>
      <c r="AJP98" s="28"/>
      <c r="AJQ98" s="28"/>
      <c r="AJR98" s="28"/>
      <c r="AJS98" s="28"/>
      <c r="AJT98" s="28"/>
      <c r="AJU98" s="28"/>
      <c r="AJV98" s="28"/>
      <c r="AJW98" s="28"/>
      <c r="AJX98" s="28"/>
      <c r="AJY98" s="28"/>
      <c r="AJZ98" s="28"/>
      <c r="AKA98" s="28"/>
      <c r="AKB98" s="28"/>
      <c r="AKC98" s="28"/>
      <c r="AKD98" s="28"/>
      <c r="AKE98" s="28"/>
      <c r="AKF98" s="28"/>
      <c r="AKG98" s="28"/>
      <c r="AKH98" s="28"/>
      <c r="AKI98" s="28"/>
      <c r="AKJ98" s="28"/>
      <c r="AKK98" s="28"/>
      <c r="AKL98" s="28"/>
      <c r="AKM98" s="28"/>
      <c r="AKN98" s="28"/>
      <c r="AKO98" s="28"/>
      <c r="AKP98" s="28"/>
      <c r="AKQ98" s="28"/>
      <c r="AKR98" s="28"/>
      <c r="AKS98" s="28"/>
      <c r="AKT98" s="28"/>
      <c r="AKU98" s="28"/>
      <c r="AKV98" s="28"/>
      <c r="AKW98" s="28"/>
      <c r="AKX98" s="28"/>
      <c r="AKY98" s="28"/>
      <c r="AKZ98" s="28"/>
      <c r="ALA98" s="28"/>
      <c r="ALB98" s="28"/>
      <c r="ALC98" s="28"/>
      <c r="ALD98" s="28"/>
      <c r="ALE98" s="28"/>
      <c r="ALF98" s="28"/>
      <c r="ALG98" s="28"/>
      <c r="ALH98" s="28"/>
      <c r="ALI98" s="28"/>
      <c r="ALJ98" s="28"/>
      <c r="ALK98" s="28"/>
      <c r="ALL98" s="28"/>
      <c r="ALM98" s="28"/>
      <c r="ALN98" s="28"/>
      <c r="ALO98" s="28"/>
      <c r="ALP98" s="28"/>
      <c r="ALQ98" s="28"/>
      <c r="ALR98" s="28"/>
    </row>
    <row r="99" spans="2:1006" outlineLevel="1" x14ac:dyDescent="0.35">
      <c r="D99" s="33" t="s">
        <v>193</v>
      </c>
      <c r="E99" s="33" t="s">
        <v>90</v>
      </c>
      <c r="F99" s="35">
        <f>H21</f>
        <v>0.05</v>
      </c>
      <c r="J99" s="34">
        <f>J95*$F$99</f>
        <v>0</v>
      </c>
      <c r="K99" s="34">
        <f>K95*$F$99</f>
        <v>0</v>
      </c>
      <c r="L99" s="34">
        <f t="shared" ref="L99:AS99" si="60">L95*$F$99</f>
        <v>0</v>
      </c>
      <c r="M99" s="34">
        <f t="shared" si="60"/>
        <v>49660.520223515297</v>
      </c>
      <c r="N99" s="34">
        <f t="shared" si="60"/>
        <v>243343.09616640629</v>
      </c>
      <c r="O99" s="34">
        <f t="shared" si="60"/>
        <v>240705.68847557425</v>
      </c>
      <c r="P99" s="34">
        <f t="shared" si="60"/>
        <v>238053.05397899635</v>
      </c>
      <c r="Q99" s="34">
        <f t="shared" si="60"/>
        <v>235384.70053381743</v>
      </c>
      <c r="R99" s="34">
        <f t="shared" si="60"/>
        <v>232700.12709235863</v>
      </c>
      <c r="S99" s="34">
        <f t="shared" si="60"/>
        <v>229998.82351933132</v>
      </c>
      <c r="T99" s="34">
        <f t="shared" si="60"/>
        <v>227280.27040541789</v>
      </c>
      <c r="U99" s="34">
        <f t="shared" si="60"/>
        <v>224543.93887714768</v>
      </c>
      <c r="V99" s="34">
        <f t="shared" si="60"/>
        <v>221789.29040299394</v>
      </c>
      <c r="W99" s="34">
        <f t="shared" si="60"/>
        <v>219015.77659561561</v>
      </c>
      <c r="X99" s="34">
        <f t="shared" si="60"/>
        <v>216222.83901016694</v>
      </c>
      <c r="Y99" s="34">
        <f t="shared" si="60"/>
        <v>213409.90893859614</v>
      </c>
      <c r="Z99" s="34">
        <f t="shared" si="60"/>
        <v>210576.40719985269</v>
      </c>
      <c r="AA99" s="34">
        <f t="shared" si="60"/>
        <v>207721.74392592197</v>
      </c>
      <c r="AB99" s="34">
        <f t="shared" si="60"/>
        <v>204845.31834360232</v>
      </c>
      <c r="AC99" s="34">
        <f t="shared" si="60"/>
        <v>201946.51855194048</v>
      </c>
      <c r="AD99" s="34">
        <f t="shared" si="60"/>
        <v>199024.72129523804</v>
      </c>
      <c r="AE99" s="34">
        <f t="shared" si="60"/>
        <v>274836.9416704491</v>
      </c>
      <c r="AF99" s="34">
        <f t="shared" si="60"/>
        <v>271473.44488573086</v>
      </c>
      <c r="AG99" s="34">
        <f t="shared" si="60"/>
        <v>268086.97934340884</v>
      </c>
      <c r="AH99" s="34">
        <f t="shared" si="60"/>
        <v>264676.86416244059</v>
      </c>
      <c r="AI99" s="34">
        <f t="shared" si="60"/>
        <v>261242.40595169217</v>
      </c>
      <c r="AJ99" s="34">
        <f t="shared" si="60"/>
        <v>257782.89855419879</v>
      </c>
      <c r="AK99" s="34">
        <f t="shared" si="60"/>
        <v>254297.62278633812</v>
      </c>
      <c r="AL99" s="34">
        <f t="shared" si="60"/>
        <v>250785.84617181501</v>
      </c>
      <c r="AM99" s="34">
        <f t="shared" si="60"/>
        <v>247246.82267035262</v>
      </c>
      <c r="AN99" s="34">
        <f t="shared" si="60"/>
        <v>243679.79240098549</v>
      </c>
      <c r="AO99" s="34">
        <f t="shared" si="60"/>
        <v>240083.98135984494</v>
      </c>
      <c r="AP99" s="34">
        <f t="shared" si="60"/>
        <v>236458.60113232734</v>
      </c>
      <c r="AQ99" s="34">
        <f t="shared" si="60"/>
        <v>232802.84859953297</v>
      </c>
      <c r="AR99" s="34">
        <f t="shared" si="60"/>
        <v>229115.9056388599</v>
      </c>
      <c r="AS99" s="34">
        <f t="shared" si="60"/>
        <v>225396.93881863673</v>
      </c>
    </row>
    <row r="100" spans="2:1006" outlineLevel="1" x14ac:dyDescent="0.35">
      <c r="D100" s="33" t="s">
        <v>194</v>
      </c>
      <c r="E100" s="33" t="s">
        <v>90</v>
      </c>
      <c r="F100" s="35">
        <f>H18</f>
        <v>0.01</v>
      </c>
      <c r="J100" s="34">
        <f>$F$100*J96</f>
        <v>0</v>
      </c>
      <c r="K100" s="34">
        <f>$F$100*K96</f>
        <v>0</v>
      </c>
      <c r="L100" s="34">
        <f t="shared" ref="L100:AS100" si="61">$F$100*L96</f>
        <v>0</v>
      </c>
      <c r="M100" s="34">
        <f t="shared" si="61"/>
        <v>-14217.844093126329</v>
      </c>
      <c r="N100" s="34">
        <f t="shared" si="61"/>
        <v>-41874.714100052079</v>
      </c>
      <c r="O100" s="34">
        <f t="shared" si="61"/>
        <v>-42402.195638218494</v>
      </c>
      <c r="P100" s="34">
        <f t="shared" si="61"/>
        <v>44277.277462465943</v>
      </c>
      <c r="Q100" s="34">
        <f t="shared" si="61"/>
        <v>43743.606773430154</v>
      </c>
      <c r="R100" s="34">
        <f t="shared" si="61"/>
        <v>43206.692085138391</v>
      </c>
      <c r="S100" s="34">
        <f t="shared" si="61"/>
        <v>42666.431370532933</v>
      </c>
      <c r="T100" s="34">
        <f t="shared" si="61"/>
        <v>42122.720747750245</v>
      </c>
      <c r="U100" s="34">
        <f t="shared" si="61"/>
        <v>41575.454442096197</v>
      </c>
      <c r="V100" s="34">
        <f t="shared" si="61"/>
        <v>41024.524747265452</v>
      </c>
      <c r="W100" s="34">
        <f t="shared" si="61"/>
        <v>40469.821985789786</v>
      </c>
      <c r="X100" s="34">
        <f t="shared" si="61"/>
        <v>39911.234468700051</v>
      </c>
      <c r="Y100" s="34">
        <f t="shared" si="61"/>
        <v>39348.64845438589</v>
      </c>
      <c r="Z100" s="34">
        <f t="shared" si="61"/>
        <v>42115.281439970538</v>
      </c>
      <c r="AA100" s="34">
        <f t="shared" si="61"/>
        <v>41544.348785184389</v>
      </c>
      <c r="AB100" s="34">
        <f t="shared" si="61"/>
        <v>40969.063668720461</v>
      </c>
      <c r="AC100" s="34">
        <f t="shared" si="61"/>
        <v>40389.303710388092</v>
      </c>
      <c r="AD100" s="34">
        <f t="shared" si="61"/>
        <v>39804.94425904761</v>
      </c>
      <c r="AE100" s="34">
        <f t="shared" si="61"/>
        <v>54967.388334089817</v>
      </c>
      <c r="AF100" s="34">
        <f t="shared" si="61"/>
        <v>54294.688977146172</v>
      </c>
      <c r="AG100" s="34">
        <f t="shared" si="61"/>
        <v>53617.395868681764</v>
      </c>
      <c r="AH100" s="34">
        <f t="shared" si="61"/>
        <v>52935.372832488109</v>
      </c>
      <c r="AI100" s="34">
        <f t="shared" si="61"/>
        <v>52248.481190338432</v>
      </c>
      <c r="AJ100" s="34">
        <f t="shared" si="61"/>
        <v>51556.579710839753</v>
      </c>
      <c r="AK100" s="34">
        <f t="shared" si="61"/>
        <v>50859.524557267621</v>
      </c>
      <c r="AL100" s="34">
        <f t="shared" si="61"/>
        <v>50157.169234362998</v>
      </c>
      <c r="AM100" s="34">
        <f t="shared" si="61"/>
        <v>49449.364534070519</v>
      </c>
      <c r="AN100" s="34">
        <f t="shared" si="61"/>
        <v>48735.9584801971</v>
      </c>
      <c r="AO100" s="34">
        <f t="shared" si="61"/>
        <v>48016.796271968989</v>
      </c>
      <c r="AP100" s="34">
        <f t="shared" si="61"/>
        <v>47291.720226465462</v>
      </c>
      <c r="AQ100" s="34">
        <f t="shared" si="61"/>
        <v>46560.569719906591</v>
      </c>
      <c r="AR100" s="34">
        <f t="shared" si="61"/>
        <v>45823.181127771975</v>
      </c>
      <c r="AS100" s="34">
        <f t="shared" si="61"/>
        <v>45079.387763727347</v>
      </c>
    </row>
    <row r="101" spans="2:1006" outlineLevel="1" x14ac:dyDescent="0.35"/>
    <row r="102" spans="2:1006" outlineLevel="1" x14ac:dyDescent="0.35">
      <c r="D102" s="33" t="s">
        <v>195</v>
      </c>
      <c r="E102" s="33" t="s">
        <v>90</v>
      </c>
      <c r="J102" s="34">
        <f>J81+J99</f>
        <v>0</v>
      </c>
      <c r="K102" s="34">
        <f>K81+K99</f>
        <v>1004675</v>
      </c>
      <c r="L102" s="34">
        <f t="shared" ref="L102:AS102" si="62">L81+L99</f>
        <v>994296.625</v>
      </c>
      <c r="M102" s="34">
        <f t="shared" si="62"/>
        <v>834881.48120445409</v>
      </c>
      <c r="N102" s="34">
        <f t="shared" si="62"/>
        <v>243343.09616640629</v>
      </c>
      <c r="O102" s="34">
        <f t="shared" si="62"/>
        <v>240705.68847557425</v>
      </c>
      <c r="P102" s="34">
        <f t="shared" si="62"/>
        <v>238053.05397899635</v>
      </c>
      <c r="Q102" s="34">
        <f t="shared" si="62"/>
        <v>235384.70053381743</v>
      </c>
      <c r="R102" s="34">
        <f t="shared" si="62"/>
        <v>232700.12709235863</v>
      </c>
      <c r="S102" s="34">
        <f t="shared" si="62"/>
        <v>229998.82351933132</v>
      </c>
      <c r="T102" s="34">
        <f t="shared" si="62"/>
        <v>227280.27040541789</v>
      </c>
      <c r="U102" s="34">
        <f t="shared" si="62"/>
        <v>224543.93887714768</v>
      </c>
      <c r="V102" s="34">
        <f t="shared" si="62"/>
        <v>221789.29040299394</v>
      </c>
      <c r="W102" s="34">
        <f t="shared" si="62"/>
        <v>219015.77659561561</v>
      </c>
      <c r="X102" s="34">
        <f t="shared" si="62"/>
        <v>216222.83901016694</v>
      </c>
      <c r="Y102" s="34">
        <f t="shared" si="62"/>
        <v>213409.90893859614</v>
      </c>
      <c r="Z102" s="34">
        <f t="shared" si="62"/>
        <v>210576.40719985269</v>
      </c>
      <c r="AA102" s="34">
        <f t="shared" si="62"/>
        <v>207721.74392592197</v>
      </c>
      <c r="AB102" s="34">
        <f t="shared" si="62"/>
        <v>204845.31834360232</v>
      </c>
      <c r="AC102" s="34">
        <f t="shared" si="62"/>
        <v>201946.51855194048</v>
      </c>
      <c r="AD102" s="34">
        <f t="shared" si="62"/>
        <v>199024.72129523804</v>
      </c>
      <c r="AE102" s="34">
        <f t="shared" si="62"/>
        <v>274836.9416704491</v>
      </c>
      <c r="AF102" s="34">
        <f t="shared" si="62"/>
        <v>271473.44488573086</v>
      </c>
      <c r="AG102" s="34">
        <f t="shared" si="62"/>
        <v>268086.97934340884</v>
      </c>
      <c r="AH102" s="34">
        <f t="shared" si="62"/>
        <v>264676.86416244059</v>
      </c>
      <c r="AI102" s="34">
        <f t="shared" si="62"/>
        <v>261242.40595169217</v>
      </c>
      <c r="AJ102" s="34">
        <f t="shared" si="62"/>
        <v>257782.89855419879</v>
      </c>
      <c r="AK102" s="34">
        <f t="shared" si="62"/>
        <v>254297.62278633812</v>
      </c>
      <c r="AL102" s="34">
        <f t="shared" si="62"/>
        <v>250785.84617181501</v>
      </c>
      <c r="AM102" s="34">
        <f t="shared" si="62"/>
        <v>247246.82267035262</v>
      </c>
      <c r="AN102" s="34">
        <f t="shared" si="62"/>
        <v>243679.79240098549</v>
      </c>
      <c r="AO102" s="34">
        <f t="shared" si="62"/>
        <v>240083.98135984494</v>
      </c>
      <c r="AP102" s="34">
        <f t="shared" si="62"/>
        <v>236458.60113232734</v>
      </c>
      <c r="AQ102" s="34">
        <f t="shared" si="62"/>
        <v>232802.84859953297</v>
      </c>
      <c r="AR102" s="34">
        <f t="shared" si="62"/>
        <v>229115.9056388599</v>
      </c>
      <c r="AS102" s="34">
        <f t="shared" si="62"/>
        <v>225396.93881863673</v>
      </c>
    </row>
    <row r="103" spans="2:1006" outlineLevel="1" x14ac:dyDescent="0.35">
      <c r="D103" s="33" t="s">
        <v>196</v>
      </c>
      <c r="E103" s="33" t="s">
        <v>90</v>
      </c>
      <c r="G103" s="27">
        <f>Inputs!F30</f>
        <v>0.21</v>
      </c>
      <c r="J103" s="34">
        <f>(J93*$G$18+J100)*$G$103</f>
        <v>0</v>
      </c>
      <c r="K103" s="34">
        <f>(K93*$G$18+K100)*$G$103</f>
        <v>-5740110.3374999994</v>
      </c>
      <c r="L103" s="34">
        <f t="shared" ref="L103:AS103" si="63">(L93*$G$18+L100)*$G$103</f>
        <v>-3064830.6583124995</v>
      </c>
      <c r="M103" s="34">
        <f t="shared" si="63"/>
        <v>-1171432.3365343977</v>
      </c>
      <c r="N103" s="34">
        <f t="shared" si="63"/>
        <v>-8793.6899610109358</v>
      </c>
      <c r="O103" s="34">
        <f t="shared" si="63"/>
        <v>-8904.4610840258829</v>
      </c>
      <c r="P103" s="34">
        <f t="shared" si="63"/>
        <v>9298.2282671178473</v>
      </c>
      <c r="Q103" s="34">
        <f t="shared" si="63"/>
        <v>9186.1574224203323</v>
      </c>
      <c r="R103" s="34">
        <f t="shared" si="63"/>
        <v>9073.4053378790613</v>
      </c>
      <c r="S103" s="34">
        <f t="shared" si="63"/>
        <v>8959.9505878119162</v>
      </c>
      <c r="T103" s="34">
        <f t="shared" si="63"/>
        <v>8845.7713570275519</v>
      </c>
      <c r="U103" s="34">
        <f t="shared" si="63"/>
        <v>8730.8454328402004</v>
      </c>
      <c r="V103" s="34">
        <f t="shared" si="63"/>
        <v>8615.1501969257442</v>
      </c>
      <c r="W103" s="34">
        <f t="shared" si="63"/>
        <v>8498.6626170158543</v>
      </c>
      <c r="X103" s="34">
        <f t="shared" si="63"/>
        <v>8381.3592384270105</v>
      </c>
      <c r="Y103" s="34">
        <f t="shared" si="63"/>
        <v>8263.2161754210374</v>
      </c>
      <c r="Z103" s="34">
        <f t="shared" si="63"/>
        <v>8844.2091023938119</v>
      </c>
      <c r="AA103" s="34">
        <f t="shared" si="63"/>
        <v>8724.3132448887209</v>
      </c>
      <c r="AB103" s="34">
        <f t="shared" si="63"/>
        <v>8603.5033704312973</v>
      </c>
      <c r="AC103" s="34">
        <f t="shared" si="63"/>
        <v>8481.7537791814993</v>
      </c>
      <c r="AD103" s="34">
        <f t="shared" si="63"/>
        <v>8359.0382943999975</v>
      </c>
      <c r="AE103" s="34">
        <f t="shared" si="63"/>
        <v>11543.151550158862</v>
      </c>
      <c r="AF103" s="34">
        <f t="shared" si="63"/>
        <v>11401.884685200695</v>
      </c>
      <c r="AG103" s="34">
        <f t="shared" si="63"/>
        <v>11259.653132423169</v>
      </c>
      <c r="AH103" s="34">
        <f t="shared" si="63"/>
        <v>11116.428294822503</v>
      </c>
      <c r="AI103" s="34">
        <f t="shared" si="63"/>
        <v>10972.18104997107</v>
      </c>
      <c r="AJ103" s="34">
        <f t="shared" si="63"/>
        <v>10826.881739276349</v>
      </c>
      <c r="AK103" s="34">
        <f t="shared" si="63"/>
        <v>10680.500157026199</v>
      </c>
      <c r="AL103" s="34">
        <f t="shared" si="63"/>
        <v>10533.005539216228</v>
      </c>
      <c r="AM103" s="34">
        <f t="shared" si="63"/>
        <v>10384.366552154808</v>
      </c>
      <c r="AN103" s="34">
        <f t="shared" si="63"/>
        <v>10234.551280841391</v>
      </c>
      <c r="AO103" s="34">
        <f t="shared" si="63"/>
        <v>10083.527217113487</v>
      </c>
      <c r="AP103" s="34">
        <f t="shared" si="63"/>
        <v>9931.2612475577462</v>
      </c>
      <c r="AQ103" s="34">
        <f t="shared" si="63"/>
        <v>9777.7196411803834</v>
      </c>
      <c r="AR103" s="34">
        <f t="shared" si="63"/>
        <v>9622.8680368321147</v>
      </c>
      <c r="AS103" s="34">
        <f t="shared" si="63"/>
        <v>9466.671430382743</v>
      </c>
    </row>
    <row r="104" spans="2:1006" outlineLevel="1" x14ac:dyDescent="0.35">
      <c r="D104" s="33" t="s">
        <v>134</v>
      </c>
      <c r="E104" s="33" t="s">
        <v>90</v>
      </c>
      <c r="J104" s="34">
        <f>J69</f>
        <v>28215000</v>
      </c>
    </row>
    <row r="105" spans="2:1006" outlineLevel="1" x14ac:dyDescent="0.35">
      <c r="D105" s="33" t="s">
        <v>172</v>
      </c>
      <c r="E105" s="33" t="s">
        <v>90</v>
      </c>
      <c r="J105" s="34">
        <f>J78</f>
        <v>39900000</v>
      </c>
    </row>
    <row r="106" spans="2:1006" outlineLevel="1" x14ac:dyDescent="0.35">
      <c r="D106" s="33" t="s">
        <v>173</v>
      </c>
      <c r="E106" s="33" t="s">
        <v>90</v>
      </c>
      <c r="J106" s="34">
        <f>J102-J103+J104-J105</f>
        <v>-11685000</v>
      </c>
      <c r="K106" s="34">
        <f t="shared" ref="K106:AS106" si="64">K102-K103+K104-K105</f>
        <v>6744785.3374999994</v>
      </c>
      <c r="L106" s="34">
        <f t="shared" si="64"/>
        <v>4059127.2833124995</v>
      </c>
      <c r="M106" s="34">
        <f t="shared" si="64"/>
        <v>2006313.8177388518</v>
      </c>
      <c r="N106" s="34">
        <f t="shared" si="64"/>
        <v>252136.78612741723</v>
      </c>
      <c r="O106" s="34">
        <f t="shared" si="64"/>
        <v>249610.14955960013</v>
      </c>
      <c r="P106" s="34">
        <f t="shared" si="64"/>
        <v>228754.82571187851</v>
      </c>
      <c r="Q106" s="34">
        <f t="shared" si="64"/>
        <v>226198.5431113971</v>
      </c>
      <c r="R106" s="34">
        <f t="shared" si="64"/>
        <v>223626.72175447957</v>
      </c>
      <c r="S106" s="34">
        <f t="shared" si="64"/>
        <v>221038.87293151941</v>
      </c>
      <c r="T106" s="34">
        <f t="shared" si="64"/>
        <v>218434.49904839034</v>
      </c>
      <c r="U106" s="34">
        <f t="shared" si="64"/>
        <v>215813.09344430748</v>
      </c>
      <c r="V106" s="34">
        <f t="shared" si="64"/>
        <v>213174.1402060682</v>
      </c>
      <c r="W106" s="34">
        <f t="shared" si="64"/>
        <v>210517.11397859975</v>
      </c>
      <c r="X106" s="34">
        <f t="shared" si="64"/>
        <v>207841.47977173992</v>
      </c>
      <c r="Y106" s="34">
        <f t="shared" si="64"/>
        <v>205146.69276317512</v>
      </c>
      <c r="Z106" s="34">
        <f t="shared" si="64"/>
        <v>201732.19809745887</v>
      </c>
      <c r="AA106" s="34">
        <f t="shared" si="64"/>
        <v>198997.43068103323</v>
      </c>
      <c r="AB106" s="34">
        <f t="shared" si="64"/>
        <v>196241.81497317101</v>
      </c>
      <c r="AC106" s="34">
        <f t="shared" si="64"/>
        <v>193464.76477275896</v>
      </c>
      <c r="AD106" s="34">
        <f t="shared" si="64"/>
        <v>190665.68300083803</v>
      </c>
      <c r="AE106" s="34">
        <f t="shared" si="64"/>
        <v>263293.79012029024</v>
      </c>
      <c r="AF106" s="34">
        <f t="shared" si="64"/>
        <v>260071.56020053016</v>
      </c>
      <c r="AG106" s="34">
        <f t="shared" si="64"/>
        <v>256827.32621098566</v>
      </c>
      <c r="AH106" s="34">
        <f t="shared" si="64"/>
        <v>253560.43586761807</v>
      </c>
      <c r="AI106" s="34">
        <f t="shared" si="64"/>
        <v>250270.22490172111</v>
      </c>
      <c r="AJ106" s="34">
        <f t="shared" si="64"/>
        <v>246956.01681492245</v>
      </c>
      <c r="AK106" s="34">
        <f t="shared" si="64"/>
        <v>243617.12262931193</v>
      </c>
      <c r="AL106" s="34">
        <f t="shared" si="64"/>
        <v>240252.84063259879</v>
      </c>
      <c r="AM106" s="34">
        <f t="shared" si="64"/>
        <v>236862.45611819782</v>
      </c>
      <c r="AN106" s="34">
        <f t="shared" si="64"/>
        <v>233445.24112014408</v>
      </c>
      <c r="AO106" s="34">
        <f t="shared" si="64"/>
        <v>230000.45414273144</v>
      </c>
      <c r="AP106" s="34">
        <f t="shared" si="64"/>
        <v>226527.33988476961</v>
      </c>
      <c r="AQ106" s="34">
        <f t="shared" si="64"/>
        <v>223025.12895835258</v>
      </c>
      <c r="AR106" s="34">
        <f t="shared" si="64"/>
        <v>219493.03760202779</v>
      </c>
      <c r="AS106" s="34">
        <f t="shared" si="64"/>
        <v>215930.267388254</v>
      </c>
    </row>
    <row r="107" spans="2:1006" outlineLevel="1" x14ac:dyDescent="0.35">
      <c r="D107" s="33" t="s">
        <v>202</v>
      </c>
      <c r="E107" s="33" t="s">
        <v>90</v>
      </c>
      <c r="G107" s="38">
        <f>IFERROR(IRR(J106:AS106),FALSE)</f>
        <v>0.13153011328933717</v>
      </c>
    </row>
    <row r="108" spans="2:1006" outlineLevel="1" x14ac:dyDescent="0.35"/>
    <row r="109" spans="2:1006" x14ac:dyDescent="0.35">
      <c r="B109" s="28" t="s">
        <v>203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  <c r="JG109" s="28"/>
      <c r="JH109" s="28"/>
      <c r="JI109" s="28"/>
      <c r="JJ109" s="28"/>
      <c r="JK109" s="28"/>
      <c r="JL109" s="28"/>
      <c r="JM109" s="28"/>
      <c r="JN109" s="28"/>
      <c r="JO109" s="28"/>
      <c r="JP109" s="28"/>
      <c r="JQ109" s="28"/>
      <c r="JR109" s="28"/>
      <c r="JS109" s="28"/>
      <c r="JT109" s="28"/>
      <c r="JU109" s="28"/>
      <c r="JV109" s="28"/>
      <c r="JW109" s="28"/>
      <c r="JX109" s="28"/>
      <c r="JY109" s="28"/>
      <c r="JZ109" s="28"/>
      <c r="KA109" s="28"/>
      <c r="KB109" s="28"/>
      <c r="KC109" s="28"/>
      <c r="KD109" s="28"/>
      <c r="KE109" s="28"/>
      <c r="KF109" s="28"/>
      <c r="KG109" s="28"/>
      <c r="KH109" s="28"/>
      <c r="KI109" s="28"/>
      <c r="KJ109" s="28"/>
      <c r="KK109" s="28"/>
      <c r="KL109" s="28"/>
      <c r="KM109" s="28"/>
      <c r="KN109" s="28"/>
      <c r="KO109" s="28"/>
      <c r="KP109" s="28"/>
      <c r="KQ109" s="28"/>
      <c r="KR109" s="28"/>
      <c r="KS109" s="28"/>
      <c r="KT109" s="28"/>
      <c r="KU109" s="28"/>
      <c r="KV109" s="28"/>
      <c r="KW109" s="28"/>
      <c r="KX109" s="28"/>
      <c r="KY109" s="28"/>
      <c r="KZ109" s="28"/>
      <c r="LA109" s="28"/>
      <c r="LB109" s="28"/>
      <c r="LC109" s="28"/>
      <c r="LD109" s="28"/>
      <c r="LE109" s="28"/>
      <c r="LF109" s="28"/>
      <c r="LG109" s="28"/>
      <c r="LH109" s="28"/>
      <c r="LI109" s="28"/>
      <c r="LJ109" s="28"/>
      <c r="LK109" s="28"/>
      <c r="LL109" s="28"/>
      <c r="LM109" s="28"/>
      <c r="LN109" s="28"/>
      <c r="LO109" s="28"/>
      <c r="LP109" s="28"/>
      <c r="LQ109" s="28"/>
      <c r="LR109" s="28"/>
      <c r="LS109" s="28"/>
      <c r="LT109" s="28"/>
      <c r="LU109" s="28"/>
      <c r="LV109" s="28"/>
      <c r="LW109" s="28"/>
      <c r="LX109" s="28"/>
      <c r="LY109" s="28"/>
      <c r="LZ109" s="28"/>
      <c r="MA109" s="28"/>
      <c r="MB109" s="28"/>
      <c r="MC109" s="28"/>
      <c r="MD109" s="28"/>
      <c r="ME109" s="28"/>
      <c r="MF109" s="28"/>
      <c r="MG109" s="28"/>
      <c r="MH109" s="28"/>
      <c r="MI109" s="28"/>
      <c r="MJ109" s="28"/>
      <c r="MK109" s="28"/>
      <c r="ML109" s="28"/>
      <c r="MM109" s="28"/>
      <c r="MN109" s="28"/>
      <c r="MO109" s="28"/>
      <c r="MP109" s="28"/>
      <c r="MQ109" s="28"/>
      <c r="MR109" s="28"/>
      <c r="MS109" s="28"/>
      <c r="MT109" s="28"/>
      <c r="MU109" s="28"/>
      <c r="MV109" s="28"/>
      <c r="MW109" s="28"/>
      <c r="MX109" s="28"/>
      <c r="MY109" s="28"/>
      <c r="MZ109" s="28"/>
      <c r="NA109" s="28"/>
      <c r="NB109" s="28"/>
      <c r="NC109" s="28"/>
      <c r="ND109" s="28"/>
      <c r="NE109" s="28"/>
      <c r="NF109" s="28"/>
      <c r="NG109" s="28"/>
      <c r="NH109" s="28"/>
      <c r="NI109" s="28"/>
      <c r="NJ109" s="28"/>
      <c r="NK109" s="28"/>
      <c r="NL109" s="28"/>
      <c r="NM109" s="28"/>
      <c r="NN109" s="28"/>
      <c r="NO109" s="28"/>
      <c r="NP109" s="28"/>
      <c r="NQ109" s="28"/>
      <c r="NR109" s="28"/>
      <c r="NS109" s="28"/>
      <c r="NT109" s="28"/>
      <c r="NU109" s="28"/>
      <c r="NV109" s="28"/>
      <c r="NW109" s="28"/>
      <c r="NX109" s="28"/>
      <c r="NY109" s="28"/>
      <c r="NZ109" s="28"/>
      <c r="OA109" s="28"/>
      <c r="OB109" s="28"/>
      <c r="OC109" s="28"/>
      <c r="OD109" s="28"/>
      <c r="OE109" s="28"/>
      <c r="OF109" s="28"/>
      <c r="OG109" s="28"/>
      <c r="OH109" s="28"/>
      <c r="OI109" s="28"/>
      <c r="OJ109" s="28"/>
      <c r="OK109" s="28"/>
      <c r="OL109" s="28"/>
      <c r="OM109" s="28"/>
      <c r="ON109" s="28"/>
      <c r="OO109" s="28"/>
      <c r="OP109" s="28"/>
      <c r="OQ109" s="28"/>
      <c r="OR109" s="28"/>
      <c r="OS109" s="28"/>
      <c r="OT109" s="28"/>
      <c r="OU109" s="28"/>
      <c r="OV109" s="28"/>
      <c r="OW109" s="28"/>
      <c r="OX109" s="28"/>
      <c r="OY109" s="28"/>
      <c r="OZ109" s="28"/>
      <c r="PA109" s="28"/>
      <c r="PB109" s="28"/>
      <c r="PC109" s="28"/>
      <c r="PD109" s="28"/>
      <c r="PE109" s="28"/>
      <c r="PF109" s="28"/>
      <c r="PG109" s="28"/>
      <c r="PH109" s="28"/>
      <c r="PI109" s="28"/>
      <c r="PJ109" s="28"/>
      <c r="PK109" s="28"/>
      <c r="PL109" s="28"/>
      <c r="PM109" s="28"/>
      <c r="PN109" s="28"/>
      <c r="PO109" s="28"/>
      <c r="PP109" s="28"/>
      <c r="PQ109" s="28"/>
      <c r="PR109" s="28"/>
      <c r="PS109" s="28"/>
      <c r="PT109" s="28"/>
      <c r="PU109" s="28"/>
      <c r="PV109" s="28"/>
      <c r="PW109" s="28"/>
      <c r="PX109" s="28"/>
      <c r="PY109" s="28"/>
      <c r="PZ109" s="28"/>
      <c r="QA109" s="28"/>
      <c r="QB109" s="28"/>
      <c r="QC109" s="28"/>
      <c r="QD109" s="28"/>
      <c r="QE109" s="28"/>
      <c r="QF109" s="28"/>
      <c r="QG109" s="28"/>
      <c r="QH109" s="28"/>
      <c r="QI109" s="28"/>
      <c r="QJ109" s="28"/>
      <c r="QK109" s="28"/>
      <c r="QL109" s="28"/>
      <c r="QM109" s="28"/>
      <c r="QN109" s="28"/>
      <c r="QO109" s="28"/>
      <c r="QP109" s="28"/>
      <c r="QQ109" s="28"/>
      <c r="QR109" s="28"/>
      <c r="QS109" s="28"/>
      <c r="QT109" s="28"/>
      <c r="QU109" s="28"/>
      <c r="QV109" s="28"/>
      <c r="QW109" s="28"/>
      <c r="QX109" s="28"/>
      <c r="QY109" s="28"/>
      <c r="QZ109" s="28"/>
      <c r="RA109" s="28"/>
      <c r="RB109" s="28"/>
      <c r="RC109" s="28"/>
      <c r="RD109" s="28"/>
      <c r="RE109" s="28"/>
      <c r="RF109" s="28"/>
      <c r="RG109" s="28"/>
      <c r="RH109" s="28"/>
      <c r="RI109" s="28"/>
      <c r="RJ109" s="28"/>
      <c r="RK109" s="28"/>
      <c r="RL109" s="28"/>
      <c r="RM109" s="28"/>
      <c r="RN109" s="28"/>
      <c r="RO109" s="28"/>
      <c r="RP109" s="28"/>
      <c r="RQ109" s="28"/>
      <c r="RR109" s="28"/>
      <c r="RS109" s="28"/>
      <c r="RT109" s="28"/>
      <c r="RU109" s="28"/>
      <c r="RV109" s="28"/>
      <c r="RW109" s="28"/>
      <c r="RX109" s="28"/>
      <c r="RY109" s="28"/>
      <c r="RZ109" s="28"/>
      <c r="SA109" s="28"/>
      <c r="SB109" s="28"/>
      <c r="SC109" s="28"/>
      <c r="SD109" s="28"/>
      <c r="SE109" s="28"/>
      <c r="SF109" s="28"/>
      <c r="SG109" s="28"/>
      <c r="SH109" s="28"/>
      <c r="SI109" s="28"/>
      <c r="SJ109" s="28"/>
      <c r="SK109" s="28"/>
      <c r="SL109" s="28"/>
      <c r="SM109" s="28"/>
      <c r="SN109" s="28"/>
      <c r="SO109" s="28"/>
      <c r="SP109" s="28"/>
      <c r="SQ109" s="28"/>
      <c r="SR109" s="28"/>
      <c r="SS109" s="28"/>
      <c r="ST109" s="28"/>
      <c r="SU109" s="28"/>
      <c r="SV109" s="28"/>
      <c r="SW109" s="28"/>
      <c r="SX109" s="28"/>
      <c r="SY109" s="28"/>
      <c r="SZ109" s="28"/>
      <c r="TA109" s="28"/>
      <c r="TB109" s="28"/>
      <c r="TC109" s="28"/>
      <c r="TD109" s="28"/>
      <c r="TE109" s="28"/>
      <c r="TF109" s="28"/>
      <c r="TG109" s="28"/>
      <c r="TH109" s="28"/>
      <c r="TI109" s="28"/>
      <c r="TJ109" s="28"/>
      <c r="TK109" s="28"/>
      <c r="TL109" s="28"/>
      <c r="TM109" s="28"/>
      <c r="TN109" s="28"/>
      <c r="TO109" s="28"/>
      <c r="TP109" s="28"/>
      <c r="TQ109" s="28"/>
      <c r="TR109" s="28"/>
      <c r="TS109" s="28"/>
      <c r="TT109" s="28"/>
      <c r="TU109" s="28"/>
      <c r="TV109" s="28"/>
      <c r="TW109" s="28"/>
      <c r="TX109" s="28"/>
      <c r="TY109" s="28"/>
      <c r="TZ109" s="28"/>
      <c r="UA109" s="28"/>
      <c r="UB109" s="28"/>
      <c r="UC109" s="28"/>
      <c r="UD109" s="28"/>
      <c r="UE109" s="28"/>
      <c r="UF109" s="28"/>
      <c r="UG109" s="28"/>
      <c r="UH109" s="28"/>
      <c r="UI109" s="28"/>
      <c r="UJ109" s="28"/>
      <c r="UK109" s="28"/>
      <c r="UL109" s="28"/>
      <c r="UM109" s="28"/>
      <c r="UN109" s="28"/>
      <c r="UO109" s="28"/>
      <c r="UP109" s="28"/>
      <c r="UQ109" s="28"/>
      <c r="UR109" s="28"/>
      <c r="US109" s="28"/>
      <c r="UT109" s="28"/>
      <c r="UU109" s="28"/>
      <c r="UV109" s="28"/>
      <c r="UW109" s="28"/>
      <c r="UX109" s="28"/>
      <c r="UY109" s="28"/>
      <c r="UZ109" s="28"/>
      <c r="VA109" s="28"/>
      <c r="VB109" s="28"/>
      <c r="VC109" s="28"/>
      <c r="VD109" s="28"/>
      <c r="VE109" s="28"/>
      <c r="VF109" s="28"/>
      <c r="VG109" s="28"/>
      <c r="VH109" s="28"/>
      <c r="VI109" s="28"/>
      <c r="VJ109" s="28"/>
      <c r="VK109" s="28"/>
      <c r="VL109" s="28"/>
      <c r="VM109" s="28"/>
      <c r="VN109" s="28"/>
      <c r="VO109" s="28"/>
      <c r="VP109" s="28"/>
      <c r="VQ109" s="28"/>
      <c r="VR109" s="28"/>
      <c r="VS109" s="28"/>
      <c r="VT109" s="28"/>
      <c r="VU109" s="28"/>
      <c r="VV109" s="28"/>
      <c r="VW109" s="28"/>
      <c r="VX109" s="28"/>
      <c r="VY109" s="28"/>
      <c r="VZ109" s="28"/>
      <c r="WA109" s="28"/>
      <c r="WB109" s="28"/>
      <c r="WC109" s="28"/>
      <c r="WD109" s="28"/>
      <c r="WE109" s="28"/>
      <c r="WF109" s="28"/>
      <c r="WG109" s="28"/>
      <c r="WH109" s="28"/>
      <c r="WI109" s="28"/>
      <c r="WJ109" s="28"/>
      <c r="WK109" s="28"/>
      <c r="WL109" s="28"/>
      <c r="WM109" s="28"/>
      <c r="WN109" s="28"/>
      <c r="WO109" s="28"/>
      <c r="WP109" s="28"/>
      <c r="WQ109" s="28"/>
      <c r="WR109" s="28"/>
      <c r="WS109" s="28"/>
      <c r="WT109" s="28"/>
      <c r="WU109" s="28"/>
      <c r="WV109" s="28"/>
      <c r="WW109" s="28"/>
      <c r="WX109" s="28"/>
      <c r="WY109" s="28"/>
      <c r="WZ109" s="28"/>
      <c r="XA109" s="28"/>
      <c r="XB109" s="28"/>
      <c r="XC109" s="28"/>
      <c r="XD109" s="28"/>
      <c r="XE109" s="28"/>
      <c r="XF109" s="28"/>
      <c r="XG109" s="28"/>
      <c r="XH109" s="28"/>
      <c r="XI109" s="28"/>
      <c r="XJ109" s="28"/>
      <c r="XK109" s="28"/>
      <c r="XL109" s="28"/>
      <c r="XM109" s="28"/>
      <c r="XN109" s="28"/>
      <c r="XO109" s="28"/>
      <c r="XP109" s="28"/>
      <c r="XQ109" s="28"/>
      <c r="XR109" s="28"/>
      <c r="XS109" s="28"/>
      <c r="XT109" s="28"/>
      <c r="XU109" s="28"/>
      <c r="XV109" s="28"/>
      <c r="XW109" s="28"/>
      <c r="XX109" s="28"/>
      <c r="XY109" s="28"/>
      <c r="XZ109" s="28"/>
      <c r="YA109" s="28"/>
      <c r="YB109" s="28"/>
      <c r="YC109" s="28"/>
      <c r="YD109" s="28"/>
      <c r="YE109" s="28"/>
      <c r="YF109" s="28"/>
      <c r="YG109" s="28"/>
      <c r="YH109" s="28"/>
      <c r="YI109" s="28"/>
      <c r="YJ109" s="28"/>
      <c r="YK109" s="28"/>
      <c r="YL109" s="28"/>
      <c r="YM109" s="28"/>
      <c r="YN109" s="28"/>
      <c r="YO109" s="28"/>
      <c r="YP109" s="28"/>
      <c r="YQ109" s="28"/>
      <c r="YR109" s="28"/>
      <c r="YS109" s="28"/>
      <c r="YT109" s="28"/>
      <c r="YU109" s="28"/>
      <c r="YV109" s="28"/>
      <c r="YW109" s="28"/>
      <c r="YX109" s="28"/>
      <c r="YY109" s="28"/>
      <c r="YZ109" s="28"/>
      <c r="ZA109" s="28"/>
      <c r="ZB109" s="28"/>
      <c r="ZC109" s="28"/>
      <c r="ZD109" s="28"/>
      <c r="ZE109" s="28"/>
      <c r="ZF109" s="28"/>
      <c r="ZG109" s="28"/>
      <c r="ZH109" s="28"/>
      <c r="ZI109" s="28"/>
      <c r="ZJ109" s="28"/>
      <c r="ZK109" s="28"/>
      <c r="ZL109" s="28"/>
      <c r="ZM109" s="28"/>
      <c r="ZN109" s="28"/>
      <c r="ZO109" s="28"/>
      <c r="ZP109" s="28"/>
      <c r="ZQ109" s="28"/>
      <c r="ZR109" s="28"/>
      <c r="ZS109" s="28"/>
      <c r="ZT109" s="28"/>
      <c r="ZU109" s="28"/>
      <c r="ZV109" s="28"/>
      <c r="ZW109" s="28"/>
      <c r="ZX109" s="28"/>
      <c r="ZY109" s="28"/>
      <c r="ZZ109" s="28"/>
      <c r="AAA109" s="28"/>
      <c r="AAB109" s="28"/>
      <c r="AAC109" s="28"/>
      <c r="AAD109" s="28"/>
      <c r="AAE109" s="28"/>
      <c r="AAF109" s="28"/>
      <c r="AAG109" s="28"/>
      <c r="AAH109" s="28"/>
      <c r="AAI109" s="28"/>
      <c r="AAJ109" s="28"/>
      <c r="AAK109" s="28"/>
      <c r="AAL109" s="28"/>
      <c r="AAM109" s="28"/>
      <c r="AAN109" s="28"/>
      <c r="AAO109" s="28"/>
      <c r="AAP109" s="28"/>
      <c r="AAQ109" s="28"/>
      <c r="AAR109" s="28"/>
      <c r="AAS109" s="28"/>
      <c r="AAT109" s="28"/>
      <c r="AAU109" s="28"/>
      <c r="AAV109" s="28"/>
      <c r="AAW109" s="28"/>
      <c r="AAX109" s="28"/>
      <c r="AAY109" s="28"/>
      <c r="AAZ109" s="28"/>
      <c r="ABA109" s="28"/>
      <c r="ABB109" s="28"/>
      <c r="ABC109" s="28"/>
      <c r="ABD109" s="28"/>
      <c r="ABE109" s="28"/>
      <c r="ABF109" s="28"/>
      <c r="ABG109" s="28"/>
      <c r="ABH109" s="28"/>
      <c r="ABI109" s="28"/>
      <c r="ABJ109" s="28"/>
      <c r="ABK109" s="28"/>
      <c r="ABL109" s="28"/>
      <c r="ABM109" s="28"/>
      <c r="ABN109" s="28"/>
      <c r="ABO109" s="28"/>
      <c r="ABP109" s="28"/>
      <c r="ABQ109" s="28"/>
      <c r="ABR109" s="28"/>
      <c r="ABS109" s="28"/>
      <c r="ABT109" s="28"/>
      <c r="ABU109" s="28"/>
      <c r="ABV109" s="28"/>
      <c r="ABW109" s="28"/>
      <c r="ABX109" s="28"/>
      <c r="ABY109" s="28"/>
      <c r="ABZ109" s="28"/>
      <c r="ACA109" s="28"/>
      <c r="ACB109" s="28"/>
      <c r="ACC109" s="28"/>
      <c r="ACD109" s="28"/>
      <c r="ACE109" s="28"/>
      <c r="ACF109" s="28"/>
      <c r="ACG109" s="28"/>
      <c r="ACH109" s="28"/>
      <c r="ACI109" s="28"/>
      <c r="ACJ109" s="28"/>
      <c r="ACK109" s="28"/>
      <c r="ACL109" s="28"/>
      <c r="ACM109" s="28"/>
      <c r="ACN109" s="28"/>
      <c r="ACO109" s="28"/>
      <c r="ACP109" s="28"/>
      <c r="ACQ109" s="28"/>
      <c r="ACR109" s="28"/>
      <c r="ACS109" s="28"/>
      <c r="ACT109" s="28"/>
      <c r="ACU109" s="28"/>
      <c r="ACV109" s="28"/>
      <c r="ACW109" s="28"/>
      <c r="ACX109" s="28"/>
      <c r="ACY109" s="28"/>
      <c r="ACZ109" s="28"/>
      <c r="ADA109" s="28"/>
      <c r="ADB109" s="28"/>
      <c r="ADC109" s="28"/>
      <c r="ADD109" s="28"/>
      <c r="ADE109" s="28"/>
      <c r="ADF109" s="28"/>
      <c r="ADG109" s="28"/>
      <c r="ADH109" s="28"/>
      <c r="ADI109" s="28"/>
      <c r="ADJ109" s="28"/>
      <c r="ADK109" s="28"/>
      <c r="ADL109" s="28"/>
      <c r="ADM109" s="28"/>
      <c r="ADN109" s="28"/>
      <c r="ADO109" s="28"/>
      <c r="ADP109" s="28"/>
      <c r="ADQ109" s="28"/>
      <c r="ADR109" s="28"/>
      <c r="ADS109" s="28"/>
      <c r="ADT109" s="28"/>
      <c r="ADU109" s="28"/>
      <c r="ADV109" s="28"/>
      <c r="ADW109" s="28"/>
      <c r="ADX109" s="28"/>
      <c r="ADY109" s="28"/>
      <c r="ADZ109" s="28"/>
      <c r="AEA109" s="28"/>
      <c r="AEB109" s="28"/>
      <c r="AEC109" s="28"/>
      <c r="AED109" s="28"/>
      <c r="AEE109" s="28"/>
      <c r="AEF109" s="28"/>
      <c r="AEG109" s="28"/>
      <c r="AEH109" s="28"/>
      <c r="AEI109" s="28"/>
      <c r="AEJ109" s="28"/>
      <c r="AEK109" s="28"/>
      <c r="AEL109" s="28"/>
      <c r="AEM109" s="28"/>
      <c r="AEN109" s="28"/>
      <c r="AEO109" s="28"/>
      <c r="AEP109" s="28"/>
      <c r="AEQ109" s="28"/>
      <c r="AER109" s="28"/>
      <c r="AES109" s="28"/>
      <c r="AET109" s="28"/>
      <c r="AEU109" s="28"/>
      <c r="AEV109" s="28"/>
      <c r="AEW109" s="28"/>
      <c r="AEX109" s="28"/>
      <c r="AEY109" s="28"/>
      <c r="AEZ109" s="28"/>
      <c r="AFA109" s="28"/>
      <c r="AFB109" s="28"/>
      <c r="AFC109" s="28"/>
      <c r="AFD109" s="28"/>
      <c r="AFE109" s="28"/>
      <c r="AFF109" s="28"/>
      <c r="AFG109" s="28"/>
      <c r="AFH109" s="28"/>
      <c r="AFI109" s="28"/>
      <c r="AFJ109" s="28"/>
      <c r="AFK109" s="28"/>
      <c r="AFL109" s="28"/>
      <c r="AFM109" s="28"/>
      <c r="AFN109" s="28"/>
      <c r="AFO109" s="28"/>
      <c r="AFP109" s="28"/>
      <c r="AFQ109" s="28"/>
      <c r="AFR109" s="28"/>
      <c r="AFS109" s="28"/>
      <c r="AFT109" s="28"/>
      <c r="AFU109" s="28"/>
      <c r="AFV109" s="28"/>
      <c r="AFW109" s="28"/>
      <c r="AFX109" s="28"/>
      <c r="AFY109" s="28"/>
      <c r="AFZ109" s="28"/>
      <c r="AGA109" s="28"/>
      <c r="AGB109" s="28"/>
      <c r="AGC109" s="28"/>
      <c r="AGD109" s="28"/>
      <c r="AGE109" s="28"/>
      <c r="AGF109" s="28"/>
      <c r="AGG109" s="28"/>
      <c r="AGH109" s="28"/>
      <c r="AGI109" s="28"/>
      <c r="AGJ109" s="28"/>
      <c r="AGK109" s="28"/>
      <c r="AGL109" s="28"/>
      <c r="AGM109" s="28"/>
      <c r="AGN109" s="28"/>
      <c r="AGO109" s="28"/>
      <c r="AGP109" s="28"/>
      <c r="AGQ109" s="28"/>
      <c r="AGR109" s="28"/>
      <c r="AGS109" s="28"/>
      <c r="AGT109" s="28"/>
      <c r="AGU109" s="28"/>
      <c r="AGV109" s="28"/>
      <c r="AGW109" s="28"/>
      <c r="AGX109" s="28"/>
      <c r="AGY109" s="28"/>
      <c r="AGZ109" s="28"/>
      <c r="AHA109" s="28"/>
      <c r="AHB109" s="28"/>
      <c r="AHC109" s="28"/>
      <c r="AHD109" s="28"/>
      <c r="AHE109" s="28"/>
      <c r="AHF109" s="28"/>
      <c r="AHG109" s="28"/>
      <c r="AHH109" s="28"/>
      <c r="AHI109" s="28"/>
      <c r="AHJ109" s="28"/>
      <c r="AHK109" s="28"/>
      <c r="AHL109" s="28"/>
      <c r="AHM109" s="28"/>
      <c r="AHN109" s="28"/>
      <c r="AHO109" s="28"/>
      <c r="AHP109" s="28"/>
      <c r="AHQ109" s="28"/>
      <c r="AHR109" s="28"/>
      <c r="AHS109" s="28"/>
      <c r="AHT109" s="28"/>
      <c r="AHU109" s="28"/>
      <c r="AHV109" s="28"/>
      <c r="AHW109" s="28"/>
      <c r="AHX109" s="28"/>
      <c r="AHY109" s="28"/>
      <c r="AHZ109" s="28"/>
      <c r="AIA109" s="28"/>
      <c r="AIB109" s="28"/>
      <c r="AIC109" s="28"/>
      <c r="AID109" s="28"/>
      <c r="AIE109" s="28"/>
      <c r="AIF109" s="28"/>
      <c r="AIG109" s="28"/>
      <c r="AIH109" s="28"/>
      <c r="AII109" s="28"/>
      <c r="AIJ109" s="28"/>
      <c r="AIK109" s="28"/>
      <c r="AIL109" s="28"/>
      <c r="AIM109" s="28"/>
      <c r="AIN109" s="28"/>
      <c r="AIO109" s="28"/>
      <c r="AIP109" s="28"/>
      <c r="AIQ109" s="28"/>
      <c r="AIR109" s="28"/>
      <c r="AIS109" s="28"/>
      <c r="AIT109" s="28"/>
      <c r="AIU109" s="28"/>
      <c r="AIV109" s="28"/>
      <c r="AIW109" s="28"/>
      <c r="AIX109" s="28"/>
      <c r="AIY109" s="28"/>
      <c r="AIZ109" s="28"/>
      <c r="AJA109" s="28"/>
      <c r="AJB109" s="28"/>
      <c r="AJC109" s="28"/>
      <c r="AJD109" s="28"/>
      <c r="AJE109" s="28"/>
      <c r="AJF109" s="28"/>
      <c r="AJG109" s="28"/>
      <c r="AJH109" s="28"/>
      <c r="AJI109" s="28"/>
      <c r="AJJ109" s="28"/>
      <c r="AJK109" s="28"/>
      <c r="AJL109" s="28"/>
      <c r="AJM109" s="28"/>
      <c r="AJN109" s="28"/>
      <c r="AJO109" s="28"/>
      <c r="AJP109" s="28"/>
      <c r="AJQ109" s="28"/>
      <c r="AJR109" s="28"/>
      <c r="AJS109" s="28"/>
      <c r="AJT109" s="28"/>
      <c r="AJU109" s="28"/>
      <c r="AJV109" s="28"/>
      <c r="AJW109" s="28"/>
      <c r="AJX109" s="28"/>
      <c r="AJY109" s="28"/>
      <c r="AJZ109" s="28"/>
      <c r="AKA109" s="28"/>
      <c r="AKB109" s="28"/>
      <c r="AKC109" s="28"/>
      <c r="AKD109" s="28"/>
      <c r="AKE109" s="28"/>
      <c r="AKF109" s="28"/>
      <c r="AKG109" s="28"/>
      <c r="AKH109" s="28"/>
      <c r="AKI109" s="28"/>
      <c r="AKJ109" s="28"/>
      <c r="AKK109" s="28"/>
      <c r="AKL109" s="28"/>
      <c r="AKM109" s="28"/>
      <c r="AKN109" s="28"/>
      <c r="AKO109" s="28"/>
      <c r="AKP109" s="28"/>
      <c r="AKQ109" s="28"/>
      <c r="AKR109" s="28"/>
      <c r="AKS109" s="28"/>
      <c r="AKT109" s="28"/>
      <c r="AKU109" s="28"/>
      <c r="AKV109" s="28"/>
      <c r="AKW109" s="28"/>
      <c r="AKX109" s="28"/>
      <c r="AKY109" s="28"/>
      <c r="AKZ109" s="28"/>
      <c r="ALA109" s="28"/>
      <c r="ALB109" s="28"/>
      <c r="ALC109" s="28"/>
      <c r="ALD109" s="28"/>
      <c r="ALE109" s="28"/>
      <c r="ALF109" s="28"/>
      <c r="ALG109" s="28"/>
      <c r="ALH109" s="28"/>
      <c r="ALI109" s="28"/>
      <c r="ALJ109" s="28"/>
      <c r="ALK109" s="28"/>
      <c r="ALL109" s="28"/>
      <c r="ALM109" s="28"/>
      <c r="ALN109" s="28"/>
      <c r="ALO109" s="28"/>
      <c r="ALP109" s="28"/>
      <c r="ALQ109" s="28"/>
      <c r="ALR109" s="28"/>
    </row>
    <row r="110" spans="2:1006" x14ac:dyDescent="0.35">
      <c r="C110" s="33" t="s">
        <v>211</v>
      </c>
    </row>
    <row r="111" spans="2:1006" x14ac:dyDescent="0.35">
      <c r="D111" s="33" t="s">
        <v>204</v>
      </c>
      <c r="E111" s="33" t="s">
        <v>90</v>
      </c>
      <c r="I111" s="21">
        <f>SUM(J111:XFD111)</f>
        <v>11136770.343923755</v>
      </c>
      <c r="J111" s="34">
        <f>J90</f>
        <v>0</v>
      </c>
      <c r="K111" s="34">
        <f t="shared" ref="K111:AS111" si="65">K90</f>
        <v>4018700</v>
      </c>
      <c r="L111" s="34">
        <f t="shared" si="65"/>
        <v>3977186.5</v>
      </c>
      <c r="M111" s="34">
        <f t="shared" si="65"/>
        <v>3140883.843923755</v>
      </c>
      <c r="N111" s="34">
        <f t="shared" si="65"/>
        <v>0</v>
      </c>
      <c r="O111" s="34">
        <f t="shared" si="65"/>
        <v>0</v>
      </c>
      <c r="P111" s="34">
        <f t="shared" si="65"/>
        <v>0</v>
      </c>
      <c r="Q111" s="34">
        <f t="shared" si="65"/>
        <v>0</v>
      </c>
      <c r="R111" s="34">
        <f t="shared" si="65"/>
        <v>0</v>
      </c>
      <c r="S111" s="34">
        <f t="shared" si="65"/>
        <v>0</v>
      </c>
      <c r="T111" s="34">
        <f t="shared" si="65"/>
        <v>0</v>
      </c>
      <c r="U111" s="34">
        <f t="shared" si="65"/>
        <v>0</v>
      </c>
      <c r="V111" s="34">
        <f t="shared" si="65"/>
        <v>0</v>
      </c>
      <c r="W111" s="34">
        <f t="shared" si="65"/>
        <v>0</v>
      </c>
      <c r="X111" s="34">
        <f t="shared" si="65"/>
        <v>0</v>
      </c>
      <c r="Y111" s="34">
        <f t="shared" si="65"/>
        <v>0</v>
      </c>
      <c r="Z111" s="34">
        <f t="shared" si="65"/>
        <v>0</v>
      </c>
      <c r="AA111" s="34">
        <f t="shared" si="65"/>
        <v>0</v>
      </c>
      <c r="AB111" s="34">
        <f t="shared" si="65"/>
        <v>0</v>
      </c>
      <c r="AC111" s="34">
        <f t="shared" si="65"/>
        <v>0</v>
      </c>
      <c r="AD111" s="34">
        <f t="shared" si="65"/>
        <v>0</v>
      </c>
      <c r="AE111" s="34">
        <f t="shared" si="65"/>
        <v>0</v>
      </c>
      <c r="AF111" s="34">
        <f t="shared" si="65"/>
        <v>0</v>
      </c>
      <c r="AG111" s="34">
        <f t="shared" si="65"/>
        <v>0</v>
      </c>
      <c r="AH111" s="34">
        <f t="shared" si="65"/>
        <v>0</v>
      </c>
      <c r="AI111" s="34">
        <f t="shared" si="65"/>
        <v>0</v>
      </c>
      <c r="AJ111" s="34">
        <f t="shared" si="65"/>
        <v>0</v>
      </c>
      <c r="AK111" s="34">
        <f t="shared" si="65"/>
        <v>0</v>
      </c>
      <c r="AL111" s="34">
        <f t="shared" si="65"/>
        <v>0</v>
      </c>
      <c r="AM111" s="34">
        <f t="shared" si="65"/>
        <v>0</v>
      </c>
      <c r="AN111" s="34">
        <f t="shared" si="65"/>
        <v>0</v>
      </c>
      <c r="AO111" s="34">
        <f t="shared" si="65"/>
        <v>0</v>
      </c>
      <c r="AP111" s="34">
        <f t="shared" si="65"/>
        <v>0</v>
      </c>
      <c r="AQ111" s="34">
        <f t="shared" si="65"/>
        <v>0</v>
      </c>
      <c r="AR111" s="34">
        <f t="shared" si="65"/>
        <v>0</v>
      </c>
      <c r="AS111" s="34">
        <f t="shared" si="65"/>
        <v>0</v>
      </c>
    </row>
    <row r="112" spans="2:1006" x14ac:dyDescent="0.35">
      <c r="D112" s="33" t="s">
        <v>205</v>
      </c>
      <c r="E112" s="33" t="s">
        <v>90</v>
      </c>
      <c r="G112" s="35">
        <f>H22</f>
        <v>0.95</v>
      </c>
      <c r="I112" s="21">
        <f>SUM(J112:XFD112)</f>
        <v>143909622.11597899</v>
      </c>
      <c r="J112" s="34">
        <f>$G$112*J95</f>
        <v>0</v>
      </c>
      <c r="K112" s="34">
        <f t="shared" ref="K112:AS112" si="66">$G$112*K95</f>
        <v>0</v>
      </c>
      <c r="L112" s="34">
        <f t="shared" si="66"/>
        <v>0</v>
      </c>
      <c r="M112" s="34">
        <f t="shared" si="66"/>
        <v>943549.88424679055</v>
      </c>
      <c r="N112" s="34">
        <f t="shared" si="66"/>
        <v>4623518.8271617191</v>
      </c>
      <c r="O112" s="34">
        <f t="shared" si="66"/>
        <v>4573408.0810359102</v>
      </c>
      <c r="P112" s="34">
        <f t="shared" si="66"/>
        <v>4523008.0256009307</v>
      </c>
      <c r="Q112" s="34">
        <f t="shared" si="66"/>
        <v>4472309.3101425311</v>
      </c>
      <c r="R112" s="34">
        <f t="shared" si="66"/>
        <v>4421302.4147548135</v>
      </c>
      <c r="S112" s="34">
        <f t="shared" si="66"/>
        <v>4369977.6468672948</v>
      </c>
      <c r="T112" s="34">
        <f t="shared" si="66"/>
        <v>4318325.1377029391</v>
      </c>
      <c r="U112" s="34">
        <f t="shared" si="66"/>
        <v>4266334.8386658058</v>
      </c>
      <c r="V112" s="34">
        <f t="shared" si="66"/>
        <v>4213996.5176568842</v>
      </c>
      <c r="W112" s="34">
        <f t="shared" si="66"/>
        <v>4161299.7553166961</v>
      </c>
      <c r="X112" s="34">
        <f t="shared" si="66"/>
        <v>4108233.9411931718</v>
      </c>
      <c r="Y112" s="34">
        <f t="shared" si="66"/>
        <v>4054788.2698333259</v>
      </c>
      <c r="Z112" s="34">
        <f t="shared" si="66"/>
        <v>4000951.7367972005</v>
      </c>
      <c r="AA112" s="34">
        <f t="shared" si="66"/>
        <v>3946713.1345925168</v>
      </c>
      <c r="AB112" s="34">
        <f t="shared" si="66"/>
        <v>3892061.0485284436</v>
      </c>
      <c r="AC112" s="34">
        <f t="shared" si="66"/>
        <v>3836983.8524868689</v>
      </c>
      <c r="AD112" s="34">
        <f t="shared" si="66"/>
        <v>3781469.7046095226</v>
      </c>
      <c r="AE112" s="34">
        <f t="shared" si="66"/>
        <v>5221901.8917385321</v>
      </c>
      <c r="AF112" s="34">
        <f t="shared" si="66"/>
        <v>5157995.452828886</v>
      </c>
      <c r="AG112" s="34">
        <f t="shared" si="66"/>
        <v>5093652.6075247675</v>
      </c>
      <c r="AH112" s="34">
        <f t="shared" si="66"/>
        <v>5028860.4190863706</v>
      </c>
      <c r="AI112" s="34">
        <f t="shared" si="66"/>
        <v>4963605.7130821506</v>
      </c>
      <c r="AJ112" s="34">
        <f t="shared" si="66"/>
        <v>4897875.072529776</v>
      </c>
      <c r="AK112" s="34">
        <f t="shared" si="66"/>
        <v>4831654.8329404239</v>
      </c>
      <c r="AL112" s="34">
        <f t="shared" si="66"/>
        <v>4764931.0772644849</v>
      </c>
      <c r="AM112" s="34">
        <f t="shared" si="66"/>
        <v>4697689.6307366993</v>
      </c>
      <c r="AN112" s="34">
        <f t="shared" si="66"/>
        <v>4629916.0556187239</v>
      </c>
      <c r="AO112" s="34">
        <f t="shared" si="66"/>
        <v>4561595.6458370537</v>
      </c>
      <c r="AP112" s="34">
        <f t="shared" si="66"/>
        <v>4492713.4215142187</v>
      </c>
      <c r="AQ112" s="34">
        <f t="shared" si="66"/>
        <v>4423254.1233911254</v>
      </c>
      <c r="AR112" s="34">
        <f t="shared" si="66"/>
        <v>4353202.2071383372</v>
      </c>
      <c r="AS112" s="34">
        <f t="shared" si="66"/>
        <v>4282541.8375540972</v>
      </c>
    </row>
    <row r="113" spans="3:45" x14ac:dyDescent="0.35">
      <c r="D113" s="33" t="s">
        <v>166</v>
      </c>
      <c r="E113" s="33" t="s">
        <v>90</v>
      </c>
      <c r="I113" s="21">
        <f>SUM(J113:XFD113)</f>
        <v>60100000</v>
      </c>
      <c r="J113" s="34">
        <f>J45</f>
        <v>60100000</v>
      </c>
      <c r="K113" s="34">
        <f t="shared" ref="K113:AS113" si="67">K45</f>
        <v>0</v>
      </c>
      <c r="L113" s="34">
        <f t="shared" si="67"/>
        <v>0</v>
      </c>
      <c r="M113" s="34">
        <f t="shared" si="67"/>
        <v>0</v>
      </c>
      <c r="N113" s="34">
        <f t="shared" si="67"/>
        <v>0</v>
      </c>
      <c r="O113" s="34">
        <f t="shared" si="67"/>
        <v>0</v>
      </c>
      <c r="P113" s="34">
        <f t="shared" si="67"/>
        <v>0</v>
      </c>
      <c r="Q113" s="34">
        <f t="shared" si="67"/>
        <v>0</v>
      </c>
      <c r="R113" s="34">
        <f t="shared" si="67"/>
        <v>0</v>
      </c>
      <c r="S113" s="34">
        <f t="shared" si="67"/>
        <v>0</v>
      </c>
      <c r="T113" s="34">
        <f t="shared" si="67"/>
        <v>0</v>
      </c>
      <c r="U113" s="34">
        <f t="shared" si="67"/>
        <v>0</v>
      </c>
      <c r="V113" s="34">
        <f t="shared" si="67"/>
        <v>0</v>
      </c>
      <c r="W113" s="34">
        <f t="shared" si="67"/>
        <v>0</v>
      </c>
      <c r="X113" s="34">
        <f t="shared" si="67"/>
        <v>0</v>
      </c>
      <c r="Y113" s="34">
        <f t="shared" si="67"/>
        <v>0</v>
      </c>
      <c r="Z113" s="34">
        <f t="shared" si="67"/>
        <v>0</v>
      </c>
      <c r="AA113" s="34">
        <f t="shared" si="67"/>
        <v>0</v>
      </c>
      <c r="AB113" s="34">
        <f t="shared" si="67"/>
        <v>0</v>
      </c>
      <c r="AC113" s="34">
        <f t="shared" si="67"/>
        <v>0</v>
      </c>
      <c r="AD113" s="34">
        <f t="shared" si="67"/>
        <v>0</v>
      </c>
      <c r="AE113" s="34">
        <f t="shared" si="67"/>
        <v>0</v>
      </c>
      <c r="AF113" s="34">
        <f t="shared" si="67"/>
        <v>0</v>
      </c>
      <c r="AG113" s="34">
        <f t="shared" si="67"/>
        <v>0</v>
      </c>
      <c r="AH113" s="34">
        <f t="shared" si="67"/>
        <v>0</v>
      </c>
      <c r="AI113" s="34">
        <f t="shared" si="67"/>
        <v>0</v>
      </c>
      <c r="AJ113" s="34">
        <f t="shared" si="67"/>
        <v>0</v>
      </c>
      <c r="AK113" s="34">
        <f t="shared" si="67"/>
        <v>0</v>
      </c>
      <c r="AL113" s="34">
        <f t="shared" si="67"/>
        <v>0</v>
      </c>
      <c r="AM113" s="34">
        <f t="shared" si="67"/>
        <v>0</v>
      </c>
      <c r="AN113" s="34">
        <f t="shared" si="67"/>
        <v>0</v>
      </c>
      <c r="AO113" s="34">
        <f t="shared" si="67"/>
        <v>0</v>
      </c>
      <c r="AP113" s="34">
        <f t="shared" si="67"/>
        <v>0</v>
      </c>
      <c r="AQ113" s="34">
        <f t="shared" si="67"/>
        <v>0</v>
      </c>
      <c r="AR113" s="34">
        <f t="shared" si="67"/>
        <v>0</v>
      </c>
      <c r="AS113" s="34">
        <f t="shared" si="67"/>
        <v>0</v>
      </c>
    </row>
    <row r="114" spans="3:45" x14ac:dyDescent="0.35">
      <c r="D114" s="33" t="s">
        <v>209</v>
      </c>
      <c r="E114" s="33" t="s">
        <v>90</v>
      </c>
      <c r="J114" s="34">
        <f>J111+J112-J113</f>
        <v>-60100000</v>
      </c>
      <c r="K114" s="34">
        <f t="shared" ref="K114:AS114" si="68">K111+K112-K113</f>
        <v>4018700</v>
      </c>
      <c r="L114" s="34">
        <f t="shared" si="68"/>
        <v>3977186.5</v>
      </c>
      <c r="M114" s="34">
        <f t="shared" si="68"/>
        <v>4084433.7281705458</v>
      </c>
      <c r="N114" s="34">
        <f t="shared" si="68"/>
        <v>4623518.8271617191</v>
      </c>
      <c r="O114" s="34">
        <f t="shared" si="68"/>
        <v>4573408.0810359102</v>
      </c>
      <c r="P114" s="34">
        <f t="shared" si="68"/>
        <v>4523008.0256009307</v>
      </c>
      <c r="Q114" s="34">
        <f t="shared" si="68"/>
        <v>4472309.3101425311</v>
      </c>
      <c r="R114" s="34">
        <f t="shared" si="68"/>
        <v>4421302.4147548135</v>
      </c>
      <c r="S114" s="34">
        <f t="shared" si="68"/>
        <v>4369977.6468672948</v>
      </c>
      <c r="T114" s="34">
        <f t="shared" si="68"/>
        <v>4318325.1377029391</v>
      </c>
      <c r="U114" s="34">
        <f t="shared" si="68"/>
        <v>4266334.8386658058</v>
      </c>
      <c r="V114" s="34">
        <f t="shared" si="68"/>
        <v>4213996.5176568842</v>
      </c>
      <c r="W114" s="34">
        <f t="shared" si="68"/>
        <v>4161299.7553166961</v>
      </c>
      <c r="X114" s="34">
        <f t="shared" si="68"/>
        <v>4108233.9411931718</v>
      </c>
      <c r="Y114" s="34">
        <f t="shared" si="68"/>
        <v>4054788.2698333259</v>
      </c>
      <c r="Z114" s="34">
        <f t="shared" si="68"/>
        <v>4000951.7367972005</v>
      </c>
      <c r="AA114" s="34">
        <f t="shared" si="68"/>
        <v>3946713.1345925168</v>
      </c>
      <c r="AB114" s="34">
        <f t="shared" si="68"/>
        <v>3892061.0485284436</v>
      </c>
      <c r="AC114" s="34">
        <f t="shared" si="68"/>
        <v>3836983.8524868689</v>
      </c>
      <c r="AD114" s="34">
        <f t="shared" si="68"/>
        <v>3781469.7046095226</v>
      </c>
      <c r="AE114" s="34">
        <f t="shared" si="68"/>
        <v>5221901.8917385321</v>
      </c>
      <c r="AF114" s="34">
        <f t="shared" si="68"/>
        <v>5157995.452828886</v>
      </c>
      <c r="AG114" s="34">
        <f t="shared" si="68"/>
        <v>5093652.6075247675</v>
      </c>
      <c r="AH114" s="34">
        <f t="shared" si="68"/>
        <v>5028860.4190863706</v>
      </c>
      <c r="AI114" s="34">
        <f t="shared" si="68"/>
        <v>4963605.7130821506</v>
      </c>
      <c r="AJ114" s="34">
        <f t="shared" si="68"/>
        <v>4897875.072529776</v>
      </c>
      <c r="AK114" s="34">
        <f t="shared" si="68"/>
        <v>4831654.8329404239</v>
      </c>
      <c r="AL114" s="34">
        <f t="shared" si="68"/>
        <v>4764931.0772644849</v>
      </c>
      <c r="AM114" s="34">
        <f t="shared" si="68"/>
        <v>4697689.6307366993</v>
      </c>
      <c r="AN114" s="34">
        <f t="shared" si="68"/>
        <v>4629916.0556187239</v>
      </c>
      <c r="AO114" s="34">
        <f t="shared" si="68"/>
        <v>4561595.6458370537</v>
      </c>
      <c r="AP114" s="34">
        <f t="shared" si="68"/>
        <v>4492713.4215142187</v>
      </c>
      <c r="AQ114" s="34">
        <f t="shared" si="68"/>
        <v>4423254.1233911254</v>
      </c>
      <c r="AR114" s="34">
        <f t="shared" si="68"/>
        <v>4353202.2071383372</v>
      </c>
      <c r="AS114" s="34">
        <f t="shared" si="68"/>
        <v>4282541.8375540972</v>
      </c>
    </row>
    <row r="115" spans="3:45" x14ac:dyDescent="0.35">
      <c r="D115" s="33" t="s">
        <v>210</v>
      </c>
      <c r="E115" s="33" t="s">
        <v>60</v>
      </c>
      <c r="F115" s="38">
        <f>IRR(J114:AS114)</f>
        <v>6.4072305745423774E-2</v>
      </c>
    </row>
    <row r="117" spans="3:45" x14ac:dyDescent="0.35">
      <c r="C117" s="33" t="s">
        <v>212</v>
      </c>
    </row>
    <row r="118" spans="3:45" x14ac:dyDescent="0.35">
      <c r="D118" s="33" t="s">
        <v>213</v>
      </c>
      <c r="E118" s="33" t="s">
        <v>90</v>
      </c>
      <c r="J118" s="34">
        <f>J114</f>
        <v>-60100000</v>
      </c>
      <c r="K118" s="34">
        <f t="shared" ref="K118:AS118" si="69">K114</f>
        <v>4018700</v>
      </c>
      <c r="L118" s="34">
        <f t="shared" si="69"/>
        <v>3977186.5</v>
      </c>
      <c r="M118" s="34">
        <f t="shared" si="69"/>
        <v>4084433.7281705458</v>
      </c>
      <c r="N118" s="34">
        <f t="shared" si="69"/>
        <v>4623518.8271617191</v>
      </c>
      <c r="O118" s="34">
        <f t="shared" si="69"/>
        <v>4573408.0810359102</v>
      </c>
      <c r="P118" s="34">
        <f t="shared" si="69"/>
        <v>4523008.0256009307</v>
      </c>
      <c r="Q118" s="34">
        <f t="shared" si="69"/>
        <v>4472309.3101425311</v>
      </c>
      <c r="R118" s="34">
        <f t="shared" si="69"/>
        <v>4421302.4147548135</v>
      </c>
      <c r="S118" s="34">
        <f t="shared" si="69"/>
        <v>4369977.6468672948</v>
      </c>
      <c r="T118" s="34">
        <f t="shared" si="69"/>
        <v>4318325.1377029391</v>
      </c>
      <c r="U118" s="34">
        <f t="shared" si="69"/>
        <v>4266334.8386658058</v>
      </c>
      <c r="V118" s="34">
        <f t="shared" si="69"/>
        <v>4213996.5176568842</v>
      </c>
      <c r="W118" s="34">
        <f t="shared" si="69"/>
        <v>4161299.7553166961</v>
      </c>
      <c r="X118" s="34">
        <f t="shared" si="69"/>
        <v>4108233.9411931718</v>
      </c>
      <c r="Y118" s="34">
        <f t="shared" si="69"/>
        <v>4054788.2698333259</v>
      </c>
      <c r="Z118" s="34">
        <f t="shared" si="69"/>
        <v>4000951.7367972005</v>
      </c>
      <c r="AA118" s="34">
        <f t="shared" si="69"/>
        <v>3946713.1345925168</v>
      </c>
      <c r="AB118" s="34">
        <f t="shared" si="69"/>
        <v>3892061.0485284436</v>
      </c>
      <c r="AC118" s="34">
        <f t="shared" si="69"/>
        <v>3836983.8524868689</v>
      </c>
      <c r="AD118" s="34">
        <f t="shared" si="69"/>
        <v>3781469.7046095226</v>
      </c>
      <c r="AE118" s="34">
        <f t="shared" si="69"/>
        <v>5221901.8917385321</v>
      </c>
      <c r="AF118" s="34">
        <f t="shared" si="69"/>
        <v>5157995.452828886</v>
      </c>
      <c r="AG118" s="34">
        <f t="shared" si="69"/>
        <v>5093652.6075247675</v>
      </c>
      <c r="AH118" s="34">
        <f t="shared" si="69"/>
        <v>5028860.4190863706</v>
      </c>
      <c r="AI118" s="34">
        <f t="shared" si="69"/>
        <v>4963605.7130821506</v>
      </c>
      <c r="AJ118" s="34">
        <f t="shared" si="69"/>
        <v>4897875.072529776</v>
      </c>
      <c r="AK118" s="34">
        <f t="shared" si="69"/>
        <v>4831654.8329404239</v>
      </c>
      <c r="AL118" s="34">
        <f t="shared" si="69"/>
        <v>4764931.0772644849</v>
      </c>
      <c r="AM118" s="34">
        <f t="shared" si="69"/>
        <v>4697689.6307366993</v>
      </c>
      <c r="AN118" s="34">
        <f t="shared" si="69"/>
        <v>4629916.0556187239</v>
      </c>
      <c r="AO118" s="34">
        <f t="shared" si="69"/>
        <v>4561595.6458370537</v>
      </c>
      <c r="AP118" s="34">
        <f t="shared" si="69"/>
        <v>4492713.4215142187</v>
      </c>
      <c r="AQ118" s="34">
        <f t="shared" si="69"/>
        <v>4423254.1233911254</v>
      </c>
      <c r="AR118" s="34">
        <f t="shared" si="69"/>
        <v>4353202.2071383372</v>
      </c>
      <c r="AS118" s="34">
        <f t="shared" si="69"/>
        <v>4282541.8375540972</v>
      </c>
    </row>
    <row r="119" spans="3:45" x14ac:dyDescent="0.35">
      <c r="D119" s="33" t="s">
        <v>214</v>
      </c>
      <c r="E119" s="33" t="s">
        <v>90</v>
      </c>
      <c r="F119" s="35">
        <f>G19</f>
        <v>1.0000000000000009E-2</v>
      </c>
      <c r="G119" s="27">
        <f>Inputs!$F$30</f>
        <v>0.21</v>
      </c>
      <c r="J119" s="34">
        <f>J93*$F$119*$G$119</f>
        <v>0</v>
      </c>
      <c r="K119" s="34">
        <f t="shared" ref="K119:AS119" si="70">K93*$F$119*$G$119</f>
        <v>-57980.912500000042</v>
      </c>
      <c r="L119" s="34">
        <f t="shared" si="70"/>
        <v>-30957.885437500023</v>
      </c>
      <c r="M119" s="34">
        <f t="shared" si="70"/>
        <v>-11802.490800755984</v>
      </c>
      <c r="N119" s="34">
        <f t="shared" si="70"/>
        <v>0</v>
      </c>
      <c r="O119" s="34">
        <f t="shared" si="70"/>
        <v>0</v>
      </c>
      <c r="P119" s="34">
        <f t="shared" si="70"/>
        <v>0</v>
      </c>
      <c r="Q119" s="34">
        <f t="shared" si="70"/>
        <v>0</v>
      </c>
      <c r="R119" s="34">
        <f t="shared" si="70"/>
        <v>0</v>
      </c>
      <c r="S119" s="34">
        <f t="shared" si="70"/>
        <v>0</v>
      </c>
      <c r="T119" s="34">
        <f t="shared" si="70"/>
        <v>0</v>
      </c>
      <c r="U119" s="34">
        <f t="shared" si="70"/>
        <v>0</v>
      </c>
      <c r="V119" s="34">
        <f t="shared" si="70"/>
        <v>0</v>
      </c>
      <c r="W119" s="34">
        <f t="shared" si="70"/>
        <v>0</v>
      </c>
      <c r="X119" s="34">
        <f t="shared" si="70"/>
        <v>0</v>
      </c>
      <c r="Y119" s="34">
        <f t="shared" si="70"/>
        <v>0</v>
      </c>
      <c r="Z119" s="34">
        <f t="shared" si="70"/>
        <v>0</v>
      </c>
      <c r="AA119" s="34">
        <f t="shared" si="70"/>
        <v>0</v>
      </c>
      <c r="AB119" s="34">
        <f t="shared" si="70"/>
        <v>0</v>
      </c>
      <c r="AC119" s="34">
        <f t="shared" si="70"/>
        <v>0</v>
      </c>
      <c r="AD119" s="34">
        <f t="shared" si="70"/>
        <v>0</v>
      </c>
      <c r="AE119" s="34">
        <f t="shared" si="70"/>
        <v>0</v>
      </c>
      <c r="AF119" s="34">
        <f t="shared" si="70"/>
        <v>0</v>
      </c>
      <c r="AG119" s="34">
        <f t="shared" si="70"/>
        <v>0</v>
      </c>
      <c r="AH119" s="34">
        <f t="shared" si="70"/>
        <v>0</v>
      </c>
      <c r="AI119" s="34">
        <f t="shared" si="70"/>
        <v>0</v>
      </c>
      <c r="AJ119" s="34">
        <f t="shared" si="70"/>
        <v>0</v>
      </c>
      <c r="AK119" s="34">
        <f t="shared" si="70"/>
        <v>0</v>
      </c>
      <c r="AL119" s="34">
        <f t="shared" si="70"/>
        <v>0</v>
      </c>
      <c r="AM119" s="34">
        <f t="shared" si="70"/>
        <v>0</v>
      </c>
      <c r="AN119" s="34">
        <f t="shared" si="70"/>
        <v>0</v>
      </c>
      <c r="AO119" s="34">
        <f t="shared" si="70"/>
        <v>0</v>
      </c>
      <c r="AP119" s="34">
        <f t="shared" si="70"/>
        <v>0</v>
      </c>
      <c r="AQ119" s="34">
        <f t="shared" si="70"/>
        <v>0</v>
      </c>
      <c r="AR119" s="34">
        <f t="shared" si="70"/>
        <v>0</v>
      </c>
      <c r="AS119" s="34">
        <f t="shared" si="70"/>
        <v>0</v>
      </c>
    </row>
    <row r="120" spans="3:45" x14ac:dyDescent="0.35">
      <c r="D120" s="33" t="s">
        <v>215</v>
      </c>
      <c r="E120" s="33" t="s">
        <v>90</v>
      </c>
      <c r="F120" s="35">
        <f>H19</f>
        <v>0.99</v>
      </c>
      <c r="G120" s="27">
        <f>Inputs!$F$30</f>
        <v>0.21</v>
      </c>
      <c r="J120" s="34">
        <f>J96*$F$120*$G$120</f>
        <v>0</v>
      </c>
      <c r="K120" s="34">
        <f t="shared" ref="K120:AS120" si="71">K96*$F$120*$G$120</f>
        <v>0</v>
      </c>
      <c r="L120" s="34">
        <f t="shared" si="71"/>
        <v>0</v>
      </c>
      <c r="M120" s="34">
        <f t="shared" si="71"/>
        <v>-295588.9786960964</v>
      </c>
      <c r="N120" s="34">
        <f t="shared" si="71"/>
        <v>-870575.30614008277</v>
      </c>
      <c r="O120" s="34">
        <f t="shared" si="71"/>
        <v>-881541.64731856238</v>
      </c>
      <c r="P120" s="34">
        <f t="shared" si="71"/>
        <v>920524.59844466695</v>
      </c>
      <c r="Q120" s="34">
        <f t="shared" si="71"/>
        <v>909429.58481961279</v>
      </c>
      <c r="R120" s="34">
        <f t="shared" si="71"/>
        <v>898267.12845002708</v>
      </c>
      <c r="S120" s="34">
        <f t="shared" si="71"/>
        <v>887035.10819337959</v>
      </c>
      <c r="T120" s="34">
        <f t="shared" si="71"/>
        <v>875731.36434572749</v>
      </c>
      <c r="U120" s="34">
        <f t="shared" si="71"/>
        <v>864353.69785117987</v>
      </c>
      <c r="V120" s="34">
        <f t="shared" si="71"/>
        <v>852899.86949564866</v>
      </c>
      <c r="W120" s="34">
        <f t="shared" si="71"/>
        <v>841367.59908456949</v>
      </c>
      <c r="X120" s="34">
        <f t="shared" si="71"/>
        <v>829754.56460427411</v>
      </c>
      <c r="Y120" s="34">
        <f t="shared" si="71"/>
        <v>818058.40136668261</v>
      </c>
      <c r="Z120" s="34">
        <f t="shared" si="71"/>
        <v>875576.70113698742</v>
      </c>
      <c r="AA120" s="34">
        <f t="shared" si="71"/>
        <v>863707.0112439834</v>
      </c>
      <c r="AB120" s="34">
        <f t="shared" si="71"/>
        <v>851746.83367269835</v>
      </c>
      <c r="AC120" s="34">
        <f t="shared" si="71"/>
        <v>839693.62413896841</v>
      </c>
      <c r="AD120" s="34">
        <f t="shared" si="71"/>
        <v>827544.79114559968</v>
      </c>
      <c r="AE120" s="34">
        <f t="shared" si="71"/>
        <v>1142772.0034657272</v>
      </c>
      <c r="AF120" s="34">
        <f t="shared" si="71"/>
        <v>1128786.5838348686</v>
      </c>
      <c r="AG120" s="34">
        <f t="shared" si="71"/>
        <v>1114705.6601098939</v>
      </c>
      <c r="AH120" s="34">
        <f t="shared" si="71"/>
        <v>1100526.4011874278</v>
      </c>
      <c r="AI120" s="34">
        <f t="shared" si="71"/>
        <v>1086245.9239471359</v>
      </c>
      <c r="AJ120" s="34">
        <f t="shared" si="71"/>
        <v>1071861.2921883583</v>
      </c>
      <c r="AK120" s="34">
        <f t="shared" si="71"/>
        <v>1057369.5155455938</v>
      </c>
      <c r="AL120" s="34">
        <f t="shared" si="71"/>
        <v>1042767.5483824066</v>
      </c>
      <c r="AM120" s="34">
        <f t="shared" si="71"/>
        <v>1028052.2886633261</v>
      </c>
      <c r="AN120" s="34">
        <f t="shared" si="71"/>
        <v>1013220.5768032976</v>
      </c>
      <c r="AO120" s="34">
        <f t="shared" si="71"/>
        <v>998269.19449423533</v>
      </c>
      <c r="AP120" s="34">
        <f t="shared" si="71"/>
        <v>983194.86350821692</v>
      </c>
      <c r="AQ120" s="34">
        <f t="shared" si="71"/>
        <v>967994.24447685783</v>
      </c>
      <c r="AR120" s="34">
        <f t="shared" si="71"/>
        <v>952663.93564637937</v>
      </c>
      <c r="AS120" s="34">
        <f t="shared" si="71"/>
        <v>937200.47160789149</v>
      </c>
    </row>
    <row r="121" spans="3:45" x14ac:dyDescent="0.35">
      <c r="D121" s="33" t="s">
        <v>165</v>
      </c>
      <c r="E121" s="33" t="s">
        <v>90</v>
      </c>
      <c r="F121" s="35"/>
      <c r="G121" s="35"/>
      <c r="J121" s="34">
        <f>J56</f>
        <v>285000</v>
      </c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</row>
    <row r="123" spans="3:45" x14ac:dyDescent="0.35">
      <c r="D123" s="33" t="s">
        <v>173</v>
      </c>
      <c r="E123" s="33" t="s">
        <v>90</v>
      </c>
      <c r="J123" s="34">
        <f>J118-J119-J120+J121</f>
        <v>-59815000</v>
      </c>
      <c r="K123" s="34">
        <f t="shared" ref="K123:AS123" si="72">K118-K119-K120+K121</f>
        <v>4076680.9125000001</v>
      </c>
      <c r="L123" s="34">
        <f t="shared" si="72"/>
        <v>4008144.3854375002</v>
      </c>
      <c r="M123" s="34">
        <f t="shared" si="72"/>
        <v>4391825.1976673985</v>
      </c>
      <c r="N123" s="34">
        <f t="shared" si="72"/>
        <v>5494094.133301802</v>
      </c>
      <c r="O123" s="34">
        <f t="shared" si="72"/>
        <v>5454949.7283544727</v>
      </c>
      <c r="P123" s="34">
        <f t="shared" si="72"/>
        <v>3602483.427156264</v>
      </c>
      <c r="Q123" s="34">
        <f t="shared" si="72"/>
        <v>3562879.725322918</v>
      </c>
      <c r="R123" s="34">
        <f t="shared" si="72"/>
        <v>3523035.2863047863</v>
      </c>
      <c r="S123" s="34">
        <f t="shared" si="72"/>
        <v>3482942.538673915</v>
      </c>
      <c r="T123" s="34">
        <f t="shared" si="72"/>
        <v>3442593.7733572116</v>
      </c>
      <c r="U123" s="34">
        <f t="shared" si="72"/>
        <v>3401981.1408146257</v>
      </c>
      <c r="V123" s="34">
        <f t="shared" si="72"/>
        <v>3361096.6481612353</v>
      </c>
      <c r="W123" s="34">
        <f t="shared" si="72"/>
        <v>3319932.1562321265</v>
      </c>
      <c r="X123" s="34">
        <f t="shared" si="72"/>
        <v>3278479.3765888978</v>
      </c>
      <c r="Y123" s="34">
        <f t="shared" si="72"/>
        <v>3236729.8684666432</v>
      </c>
      <c r="Z123" s="34">
        <f t="shared" si="72"/>
        <v>3125375.0356602129</v>
      </c>
      <c r="AA123" s="34">
        <f t="shared" si="72"/>
        <v>3083006.1233485332</v>
      </c>
      <c r="AB123" s="34">
        <f t="shared" si="72"/>
        <v>3040314.2148557454</v>
      </c>
      <c r="AC123" s="34">
        <f t="shared" si="72"/>
        <v>2997290.2283479003</v>
      </c>
      <c r="AD123" s="34">
        <f t="shared" si="72"/>
        <v>2953924.9134639231</v>
      </c>
      <c r="AE123" s="34">
        <f t="shared" si="72"/>
        <v>4079129.8882728051</v>
      </c>
      <c r="AF123" s="34">
        <f t="shared" si="72"/>
        <v>4029208.8689940171</v>
      </c>
      <c r="AG123" s="34">
        <f t="shared" si="72"/>
        <v>3978946.9474148736</v>
      </c>
      <c r="AH123" s="34">
        <f t="shared" si="72"/>
        <v>3928334.0178989428</v>
      </c>
      <c r="AI123" s="34">
        <f t="shared" si="72"/>
        <v>3877359.7891350146</v>
      </c>
      <c r="AJ123" s="34">
        <f t="shared" si="72"/>
        <v>3826013.7803414175</v>
      </c>
      <c r="AK123" s="34">
        <f t="shared" si="72"/>
        <v>3774285.3173948303</v>
      </c>
      <c r="AL123" s="34">
        <f t="shared" si="72"/>
        <v>3722163.5288820784</v>
      </c>
      <c r="AM123" s="34">
        <f t="shared" si="72"/>
        <v>3669637.3420733735</v>
      </c>
      <c r="AN123" s="34">
        <f t="shared" si="72"/>
        <v>3616695.4788154261</v>
      </c>
      <c r="AO123" s="34">
        <f t="shared" si="72"/>
        <v>3563326.4513428183</v>
      </c>
      <c r="AP123" s="34">
        <f t="shared" si="72"/>
        <v>3509518.5580060016</v>
      </c>
      <c r="AQ123" s="34">
        <f t="shared" si="72"/>
        <v>3455259.8789142678</v>
      </c>
      <c r="AR123" s="34">
        <f t="shared" si="72"/>
        <v>3400538.2714919578</v>
      </c>
      <c r="AS123" s="34">
        <f t="shared" si="72"/>
        <v>3345341.3659462058</v>
      </c>
    </row>
    <row r="124" spans="3:45" x14ac:dyDescent="0.35">
      <c r="D124" s="33" t="s">
        <v>216</v>
      </c>
      <c r="E124" s="33" t="s">
        <v>60</v>
      </c>
      <c r="F124" s="38">
        <f>IRR(J123:AS123)</f>
        <v>5.2997691202110175E-2</v>
      </c>
    </row>
  </sheetData>
  <conditionalFormatting sqref="A1:XFD1048576">
    <cfRule type="expression" dxfId="19" priority="9">
      <formula>AND(A1&lt;&gt;"",A1=FALSE)</formula>
    </cfRule>
    <cfRule type="expression" dxfId="18" priority="10">
      <formula>A1=TRUE</formula>
    </cfRule>
  </conditionalFormatting>
  <conditionalFormatting sqref="J6:AAA6">
    <cfRule type="expression" dxfId="17" priority="7">
      <formula>AND(J6=0,J6&lt;&gt;"")</formula>
    </cfRule>
    <cfRule type="expression" dxfId="16" priority="8">
      <formula>J6=1</formula>
    </cfRule>
  </conditionalFormatting>
  <conditionalFormatting sqref="J7:AAA7">
    <cfRule type="expression" dxfId="15" priority="5">
      <formula>AND(J7=0,J7&lt;&gt;"")</formula>
    </cfRule>
    <cfRule type="expression" dxfId="14" priority="6">
      <formula>J7=1</formula>
    </cfRule>
  </conditionalFormatting>
  <conditionalFormatting sqref="J8:AAA8">
    <cfRule type="expression" dxfId="13" priority="3">
      <formula>AND(J8=0,J8&lt;&gt;"")</formula>
    </cfRule>
    <cfRule type="expression" dxfId="12" priority="4">
      <formula>J8=1</formula>
    </cfRule>
  </conditionalFormatting>
  <conditionalFormatting sqref="J9:AAA9">
    <cfRule type="expression" dxfId="11" priority="1">
      <formula>AND(J9=0,J9&lt;&gt;"")</formula>
    </cfRule>
    <cfRule type="expression" dxfId="10" priority="2">
      <formula>J9=1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5</xdr:col>
                    <xdr:colOff>603250</xdr:colOff>
                    <xdr:row>33</xdr:row>
                    <xdr:rowOff>12700</xdr:rowOff>
                  </from>
                  <to>
                    <xdr:col>6</xdr:col>
                    <xdr:colOff>146050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Spinner 2">
              <controlPr defaultSize="0" autoPict="0">
                <anchor moveWithCells="1" sizeWithCells="1">
                  <from>
                    <xdr:col>7</xdr:col>
                    <xdr:colOff>31750</xdr:colOff>
                    <xdr:row>2</xdr:row>
                    <xdr:rowOff>25400</xdr:rowOff>
                  </from>
                  <to>
                    <xdr:col>7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A8C3DE2-D7F3-4006-AB63-1792C3DE9D5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Allocation!K48:AS48</xm:f>
              <xm:sqref>H48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193B-DEBB-49A3-AFD8-00BCB9912A91}">
  <sheetPr codeName="Sheet6"/>
  <dimension ref="B1:ALR56"/>
  <sheetViews>
    <sheetView showGridLines="0" zoomScale="80" zoomScaleNormal="80" workbookViewId="0">
      <pane xSplit="9" ySplit="4" topLeftCell="J36" activePane="bottomRight" state="frozen"/>
      <selection pane="topRight" activeCell="J1" sqref="J1"/>
      <selection pane="bottomLeft" activeCell="A5" sqref="A5"/>
      <selection pane="bottomRight" activeCell="J62" sqref="J62"/>
    </sheetView>
  </sheetViews>
  <sheetFormatPr defaultRowHeight="14.5" outlineLevelRow="1" x14ac:dyDescent="0.35"/>
  <cols>
    <col min="1" max="3" width="1.6328125" style="33" customWidth="1"/>
    <col min="4" max="4" width="34.54296875" style="33" customWidth="1"/>
    <col min="5" max="6" width="10.36328125" style="33" customWidth="1"/>
    <col min="7" max="7" width="12.36328125" style="33" customWidth="1"/>
    <col min="8" max="8" width="10.36328125" style="33" customWidth="1"/>
    <col min="9" max="9" width="14.6328125" style="33" customWidth="1"/>
    <col min="10" max="10" width="13.6328125" style="33" bestFit="1" customWidth="1"/>
    <col min="11" max="45" width="11.90625" style="33" customWidth="1"/>
    <col min="46" max="16384" width="8.7265625" style="33"/>
  </cols>
  <sheetData>
    <row r="1" spans="2:1006" s="29" customFormat="1" ht="29" x14ac:dyDescent="0.35">
      <c r="B1" s="29" t="s">
        <v>68</v>
      </c>
      <c r="E1" s="30" t="s">
        <v>88</v>
      </c>
      <c r="F1" s="30" t="s">
        <v>89</v>
      </c>
      <c r="G1" s="31" t="s">
        <v>83</v>
      </c>
      <c r="H1" s="31" t="s">
        <v>83</v>
      </c>
      <c r="I1" s="31" t="s">
        <v>84</v>
      </c>
    </row>
    <row r="2" spans="2:1006" s="29" customFormat="1" outlineLevel="1" x14ac:dyDescent="0.35">
      <c r="C2" s="29" t="s">
        <v>71</v>
      </c>
      <c r="J2" s="29">
        <v>0</v>
      </c>
      <c r="K2" s="29">
        <v>1</v>
      </c>
      <c r="L2" s="29">
        <v>2</v>
      </c>
      <c r="M2" s="29">
        <v>3</v>
      </c>
      <c r="N2" s="29">
        <v>4</v>
      </c>
      <c r="O2" s="29">
        <v>5</v>
      </c>
      <c r="P2" s="29">
        <v>6</v>
      </c>
      <c r="Q2" s="29">
        <v>7</v>
      </c>
      <c r="R2" s="29">
        <v>8</v>
      </c>
      <c r="S2" s="29">
        <v>9</v>
      </c>
      <c r="T2" s="29">
        <v>10</v>
      </c>
      <c r="U2" s="29">
        <v>11</v>
      </c>
      <c r="V2" s="29">
        <v>12</v>
      </c>
      <c r="W2" s="29">
        <v>13</v>
      </c>
      <c r="X2" s="29">
        <v>14</v>
      </c>
      <c r="Y2" s="29">
        <v>15</v>
      </c>
      <c r="Z2" s="29">
        <v>16</v>
      </c>
      <c r="AA2" s="29">
        <v>17</v>
      </c>
      <c r="AB2" s="29">
        <v>18</v>
      </c>
      <c r="AC2" s="29">
        <v>19</v>
      </c>
      <c r="AD2" s="29">
        <v>20</v>
      </c>
      <c r="AE2" s="29">
        <v>21</v>
      </c>
      <c r="AF2" s="29">
        <v>22</v>
      </c>
      <c r="AG2" s="29">
        <v>23</v>
      </c>
      <c r="AH2" s="29">
        <v>24</v>
      </c>
      <c r="AI2" s="29">
        <v>25</v>
      </c>
      <c r="AJ2" s="29">
        <v>26</v>
      </c>
      <c r="AK2" s="29">
        <v>27</v>
      </c>
      <c r="AL2" s="29">
        <v>28</v>
      </c>
      <c r="AM2" s="29">
        <v>29</v>
      </c>
      <c r="AN2" s="29">
        <v>30</v>
      </c>
      <c r="AO2" s="29">
        <v>31</v>
      </c>
      <c r="AP2" s="29">
        <v>32</v>
      </c>
      <c r="AQ2" s="29">
        <v>33</v>
      </c>
      <c r="AR2" s="29">
        <v>34</v>
      </c>
      <c r="AS2" s="29">
        <v>35</v>
      </c>
    </row>
    <row r="3" spans="2:1006" s="29" customFormat="1" outlineLevel="1" x14ac:dyDescent="0.35">
      <c r="C3" s="29" t="s">
        <v>69</v>
      </c>
      <c r="J3" s="32">
        <v>43831</v>
      </c>
      <c r="K3" s="32">
        <f>J4+1</f>
        <v>44197</v>
      </c>
      <c r="L3" s="32">
        <f t="shared" ref="L3:AS3" si="0">K4+1</f>
        <v>44562</v>
      </c>
      <c r="M3" s="32">
        <f t="shared" si="0"/>
        <v>44927</v>
      </c>
      <c r="N3" s="32">
        <f t="shared" si="0"/>
        <v>45292</v>
      </c>
      <c r="O3" s="32">
        <f t="shared" si="0"/>
        <v>45658</v>
      </c>
      <c r="P3" s="32">
        <f t="shared" si="0"/>
        <v>46023</v>
      </c>
      <c r="Q3" s="32">
        <f t="shared" si="0"/>
        <v>46388</v>
      </c>
      <c r="R3" s="32">
        <f t="shared" si="0"/>
        <v>46753</v>
      </c>
      <c r="S3" s="32">
        <f t="shared" si="0"/>
        <v>47119</v>
      </c>
      <c r="T3" s="32">
        <f t="shared" si="0"/>
        <v>47484</v>
      </c>
      <c r="U3" s="32">
        <f t="shared" si="0"/>
        <v>47849</v>
      </c>
      <c r="V3" s="32">
        <f t="shared" si="0"/>
        <v>48214</v>
      </c>
      <c r="W3" s="32">
        <f t="shared" si="0"/>
        <v>48580</v>
      </c>
      <c r="X3" s="32">
        <f t="shared" si="0"/>
        <v>48945</v>
      </c>
      <c r="Y3" s="32">
        <f t="shared" si="0"/>
        <v>49310</v>
      </c>
      <c r="Z3" s="32">
        <f t="shared" si="0"/>
        <v>49675</v>
      </c>
      <c r="AA3" s="32">
        <f t="shared" si="0"/>
        <v>50041</v>
      </c>
      <c r="AB3" s="32">
        <f t="shared" si="0"/>
        <v>50406</v>
      </c>
      <c r="AC3" s="32">
        <f t="shared" si="0"/>
        <v>50771</v>
      </c>
      <c r="AD3" s="32">
        <f t="shared" si="0"/>
        <v>51136</v>
      </c>
      <c r="AE3" s="32">
        <f t="shared" si="0"/>
        <v>51502</v>
      </c>
      <c r="AF3" s="32">
        <f t="shared" si="0"/>
        <v>51867</v>
      </c>
      <c r="AG3" s="32">
        <f t="shared" si="0"/>
        <v>52232</v>
      </c>
      <c r="AH3" s="32">
        <f t="shared" si="0"/>
        <v>52597</v>
      </c>
      <c r="AI3" s="32">
        <f t="shared" si="0"/>
        <v>52963</v>
      </c>
      <c r="AJ3" s="32">
        <f t="shared" si="0"/>
        <v>53328</v>
      </c>
      <c r="AK3" s="32">
        <f t="shared" si="0"/>
        <v>53693</v>
      </c>
      <c r="AL3" s="32">
        <f t="shared" si="0"/>
        <v>54058</v>
      </c>
      <c r="AM3" s="32">
        <f t="shared" si="0"/>
        <v>54424</v>
      </c>
      <c r="AN3" s="32">
        <f t="shared" si="0"/>
        <v>54789</v>
      </c>
      <c r="AO3" s="32">
        <f t="shared" si="0"/>
        <v>55154</v>
      </c>
      <c r="AP3" s="32">
        <f t="shared" si="0"/>
        <v>55519</v>
      </c>
      <c r="AQ3" s="32">
        <f t="shared" si="0"/>
        <v>55885</v>
      </c>
      <c r="AR3" s="32">
        <f t="shared" si="0"/>
        <v>56250</v>
      </c>
      <c r="AS3" s="32">
        <f t="shared" si="0"/>
        <v>56615</v>
      </c>
    </row>
    <row r="4" spans="2:1006" s="29" customFormat="1" outlineLevel="1" x14ac:dyDescent="0.35">
      <c r="C4" s="29" t="s">
        <v>70</v>
      </c>
      <c r="J4" s="32">
        <f>Inputs!$F$8</f>
        <v>44196</v>
      </c>
      <c r="K4" s="32">
        <f>EOMONTH(K3,11)</f>
        <v>44561</v>
      </c>
      <c r="L4" s="32">
        <f t="shared" ref="L4:AS4" si="1">EOMONTH(L3,11)</f>
        <v>44926</v>
      </c>
      <c r="M4" s="32">
        <f t="shared" si="1"/>
        <v>45291</v>
      </c>
      <c r="N4" s="32">
        <f t="shared" si="1"/>
        <v>45657</v>
      </c>
      <c r="O4" s="32">
        <f t="shared" si="1"/>
        <v>46022</v>
      </c>
      <c r="P4" s="32">
        <f t="shared" si="1"/>
        <v>46387</v>
      </c>
      <c r="Q4" s="32">
        <f t="shared" si="1"/>
        <v>46752</v>
      </c>
      <c r="R4" s="32">
        <f t="shared" si="1"/>
        <v>47118</v>
      </c>
      <c r="S4" s="32">
        <f t="shared" si="1"/>
        <v>47483</v>
      </c>
      <c r="T4" s="32">
        <f t="shared" si="1"/>
        <v>47848</v>
      </c>
      <c r="U4" s="32">
        <f t="shared" si="1"/>
        <v>48213</v>
      </c>
      <c r="V4" s="32">
        <f t="shared" si="1"/>
        <v>48579</v>
      </c>
      <c r="W4" s="32">
        <f t="shared" si="1"/>
        <v>48944</v>
      </c>
      <c r="X4" s="32">
        <f t="shared" si="1"/>
        <v>49309</v>
      </c>
      <c r="Y4" s="32">
        <f t="shared" si="1"/>
        <v>49674</v>
      </c>
      <c r="Z4" s="32">
        <f t="shared" si="1"/>
        <v>50040</v>
      </c>
      <c r="AA4" s="32">
        <f t="shared" si="1"/>
        <v>50405</v>
      </c>
      <c r="AB4" s="32">
        <f t="shared" si="1"/>
        <v>50770</v>
      </c>
      <c r="AC4" s="32">
        <f t="shared" si="1"/>
        <v>51135</v>
      </c>
      <c r="AD4" s="32">
        <f t="shared" si="1"/>
        <v>51501</v>
      </c>
      <c r="AE4" s="32">
        <f t="shared" si="1"/>
        <v>51866</v>
      </c>
      <c r="AF4" s="32">
        <f t="shared" si="1"/>
        <v>52231</v>
      </c>
      <c r="AG4" s="32">
        <f t="shared" si="1"/>
        <v>52596</v>
      </c>
      <c r="AH4" s="32">
        <f t="shared" si="1"/>
        <v>52962</v>
      </c>
      <c r="AI4" s="32">
        <f t="shared" si="1"/>
        <v>53327</v>
      </c>
      <c r="AJ4" s="32">
        <f t="shared" si="1"/>
        <v>53692</v>
      </c>
      <c r="AK4" s="32">
        <f t="shared" si="1"/>
        <v>54057</v>
      </c>
      <c r="AL4" s="32">
        <f t="shared" si="1"/>
        <v>54423</v>
      </c>
      <c r="AM4" s="32">
        <f t="shared" si="1"/>
        <v>54788</v>
      </c>
      <c r="AN4" s="32">
        <f t="shared" si="1"/>
        <v>55153</v>
      </c>
      <c r="AO4" s="32">
        <f t="shared" si="1"/>
        <v>55518</v>
      </c>
      <c r="AP4" s="32">
        <f t="shared" si="1"/>
        <v>55884</v>
      </c>
      <c r="AQ4" s="32">
        <f t="shared" si="1"/>
        <v>56249</v>
      </c>
      <c r="AR4" s="32">
        <f t="shared" si="1"/>
        <v>56614</v>
      </c>
      <c r="AS4" s="32">
        <f t="shared" si="1"/>
        <v>56979</v>
      </c>
    </row>
    <row r="5" spans="2:1006" s="29" customFormat="1" outlineLevel="1" x14ac:dyDescent="0.35"/>
    <row r="6" spans="2:1006" s="29" customFormat="1" outlineLevel="1" x14ac:dyDescent="0.35">
      <c r="C6" s="29" t="s">
        <v>72</v>
      </c>
      <c r="E6" s="29" t="s">
        <v>73</v>
      </c>
      <c r="G6" s="29">
        <f>Inputs!F12</f>
        <v>20</v>
      </c>
      <c r="I6" s="29">
        <f>SUM(J6:XFD6)</f>
        <v>20</v>
      </c>
      <c r="J6" s="29">
        <f t="shared" ref="J6:AS6" si="2">AND(J2&gt;0,J2&lt;=$G$6)*1</f>
        <v>0</v>
      </c>
      <c r="K6" s="29">
        <f t="shared" si="2"/>
        <v>1</v>
      </c>
      <c r="L6" s="29">
        <f t="shared" si="2"/>
        <v>1</v>
      </c>
      <c r="M6" s="29">
        <f t="shared" si="2"/>
        <v>1</v>
      </c>
      <c r="N6" s="29">
        <f t="shared" si="2"/>
        <v>1</v>
      </c>
      <c r="O6" s="29">
        <f t="shared" si="2"/>
        <v>1</v>
      </c>
      <c r="P6" s="29">
        <f t="shared" si="2"/>
        <v>1</v>
      </c>
      <c r="Q6" s="29">
        <f t="shared" si="2"/>
        <v>1</v>
      </c>
      <c r="R6" s="29">
        <f t="shared" si="2"/>
        <v>1</v>
      </c>
      <c r="S6" s="29">
        <f t="shared" si="2"/>
        <v>1</v>
      </c>
      <c r="T6" s="29">
        <f t="shared" si="2"/>
        <v>1</v>
      </c>
      <c r="U6" s="29">
        <f t="shared" si="2"/>
        <v>1</v>
      </c>
      <c r="V6" s="29">
        <f t="shared" si="2"/>
        <v>1</v>
      </c>
      <c r="W6" s="29">
        <f t="shared" si="2"/>
        <v>1</v>
      </c>
      <c r="X6" s="29">
        <f t="shared" si="2"/>
        <v>1</v>
      </c>
      <c r="Y6" s="29">
        <f t="shared" si="2"/>
        <v>1</v>
      </c>
      <c r="Z6" s="29">
        <f t="shared" si="2"/>
        <v>1</v>
      </c>
      <c r="AA6" s="29">
        <f t="shared" si="2"/>
        <v>1</v>
      </c>
      <c r="AB6" s="29">
        <f t="shared" si="2"/>
        <v>1</v>
      </c>
      <c r="AC6" s="29">
        <f t="shared" si="2"/>
        <v>1</v>
      </c>
      <c r="AD6" s="29">
        <f t="shared" si="2"/>
        <v>1</v>
      </c>
      <c r="AE6" s="29">
        <f t="shared" si="2"/>
        <v>0</v>
      </c>
      <c r="AF6" s="29">
        <f t="shared" si="2"/>
        <v>0</v>
      </c>
      <c r="AG6" s="29">
        <f t="shared" si="2"/>
        <v>0</v>
      </c>
      <c r="AH6" s="29">
        <f t="shared" si="2"/>
        <v>0</v>
      </c>
      <c r="AI6" s="29">
        <f t="shared" si="2"/>
        <v>0</v>
      </c>
      <c r="AJ6" s="29">
        <f t="shared" si="2"/>
        <v>0</v>
      </c>
      <c r="AK6" s="29">
        <f t="shared" si="2"/>
        <v>0</v>
      </c>
      <c r="AL6" s="29">
        <f t="shared" si="2"/>
        <v>0</v>
      </c>
      <c r="AM6" s="29">
        <f t="shared" si="2"/>
        <v>0</v>
      </c>
      <c r="AN6" s="29">
        <f t="shared" si="2"/>
        <v>0</v>
      </c>
      <c r="AO6" s="29">
        <f t="shared" si="2"/>
        <v>0</v>
      </c>
      <c r="AP6" s="29">
        <f t="shared" si="2"/>
        <v>0</v>
      </c>
      <c r="AQ6" s="29">
        <f t="shared" si="2"/>
        <v>0</v>
      </c>
      <c r="AR6" s="29">
        <f t="shared" si="2"/>
        <v>0</v>
      </c>
      <c r="AS6" s="29">
        <f t="shared" si="2"/>
        <v>0</v>
      </c>
    </row>
    <row r="7" spans="2:1006" s="29" customFormat="1" outlineLevel="1" x14ac:dyDescent="0.35">
      <c r="C7" s="29" t="s">
        <v>74</v>
      </c>
      <c r="E7" s="29" t="s">
        <v>73</v>
      </c>
      <c r="G7" s="29">
        <f>G6+1</f>
        <v>21</v>
      </c>
      <c r="H7" s="29">
        <f>Inputs!F6</f>
        <v>35</v>
      </c>
      <c r="I7" s="29">
        <f>SUM(J7:XFD7)</f>
        <v>15</v>
      </c>
      <c r="J7" s="29">
        <f t="shared" ref="J7:AS7" si="3">(AND(J2&gt;=$G$7,J2&lt;=$H$7))*1</f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29">
        <f t="shared" si="3"/>
        <v>0</v>
      </c>
      <c r="P7" s="29">
        <f t="shared" si="3"/>
        <v>0</v>
      </c>
      <c r="Q7" s="29">
        <f t="shared" si="3"/>
        <v>0</v>
      </c>
      <c r="R7" s="29">
        <f t="shared" si="3"/>
        <v>0</v>
      </c>
      <c r="S7" s="29">
        <f t="shared" si="3"/>
        <v>0</v>
      </c>
      <c r="T7" s="29">
        <f t="shared" si="3"/>
        <v>0</v>
      </c>
      <c r="U7" s="29">
        <f t="shared" si="3"/>
        <v>0</v>
      </c>
      <c r="V7" s="29">
        <f t="shared" si="3"/>
        <v>0</v>
      </c>
      <c r="W7" s="29">
        <f t="shared" si="3"/>
        <v>0</v>
      </c>
      <c r="X7" s="29">
        <f t="shared" si="3"/>
        <v>0</v>
      </c>
      <c r="Y7" s="29">
        <f t="shared" si="3"/>
        <v>0</v>
      </c>
      <c r="Z7" s="29">
        <f t="shared" si="3"/>
        <v>0</v>
      </c>
      <c r="AA7" s="29">
        <f t="shared" si="3"/>
        <v>0</v>
      </c>
      <c r="AB7" s="29">
        <f t="shared" si="3"/>
        <v>0</v>
      </c>
      <c r="AC7" s="29">
        <f t="shared" si="3"/>
        <v>0</v>
      </c>
      <c r="AD7" s="29">
        <f t="shared" si="3"/>
        <v>0</v>
      </c>
      <c r="AE7" s="29">
        <f t="shared" si="3"/>
        <v>1</v>
      </c>
      <c r="AF7" s="29">
        <f t="shared" si="3"/>
        <v>1</v>
      </c>
      <c r="AG7" s="29">
        <f t="shared" si="3"/>
        <v>1</v>
      </c>
      <c r="AH7" s="29">
        <f t="shared" si="3"/>
        <v>1</v>
      </c>
      <c r="AI7" s="29">
        <f t="shared" si="3"/>
        <v>1</v>
      </c>
      <c r="AJ7" s="29">
        <f t="shared" si="3"/>
        <v>1</v>
      </c>
      <c r="AK7" s="29">
        <f t="shared" si="3"/>
        <v>1</v>
      </c>
      <c r="AL7" s="29">
        <f t="shared" si="3"/>
        <v>1</v>
      </c>
      <c r="AM7" s="29">
        <f t="shared" si="3"/>
        <v>1</v>
      </c>
      <c r="AN7" s="29">
        <f t="shared" si="3"/>
        <v>1</v>
      </c>
      <c r="AO7" s="29">
        <f t="shared" si="3"/>
        <v>1</v>
      </c>
      <c r="AP7" s="29">
        <f t="shared" si="3"/>
        <v>1</v>
      </c>
      <c r="AQ7" s="29">
        <f t="shared" si="3"/>
        <v>1</v>
      </c>
      <c r="AR7" s="29">
        <f t="shared" si="3"/>
        <v>1</v>
      </c>
      <c r="AS7" s="29">
        <f t="shared" si="3"/>
        <v>1</v>
      </c>
    </row>
    <row r="8" spans="2:1006" s="29" customFormat="1" outlineLevel="1" x14ac:dyDescent="0.35">
      <c r="C8" s="29" t="s">
        <v>75</v>
      </c>
      <c r="E8" s="29" t="s">
        <v>73</v>
      </c>
      <c r="I8" s="29">
        <f>SUM(J8:XFD8)</f>
        <v>35</v>
      </c>
      <c r="J8" s="29">
        <f>(OR(J6,J7))*1</f>
        <v>0</v>
      </c>
      <c r="K8" s="29">
        <f t="shared" ref="K8:AS8" si="4">(OR(K6,K7))*1</f>
        <v>1</v>
      </c>
      <c r="L8" s="29">
        <f t="shared" si="4"/>
        <v>1</v>
      </c>
      <c r="M8" s="29">
        <f t="shared" si="4"/>
        <v>1</v>
      </c>
      <c r="N8" s="29">
        <f t="shared" si="4"/>
        <v>1</v>
      </c>
      <c r="O8" s="29">
        <f t="shared" si="4"/>
        <v>1</v>
      </c>
      <c r="P8" s="29">
        <f t="shared" si="4"/>
        <v>1</v>
      </c>
      <c r="Q8" s="29">
        <f t="shared" si="4"/>
        <v>1</v>
      </c>
      <c r="R8" s="29">
        <f t="shared" si="4"/>
        <v>1</v>
      </c>
      <c r="S8" s="29">
        <f t="shared" si="4"/>
        <v>1</v>
      </c>
      <c r="T8" s="29">
        <f t="shared" si="4"/>
        <v>1</v>
      </c>
      <c r="U8" s="29">
        <f t="shared" si="4"/>
        <v>1</v>
      </c>
      <c r="V8" s="29">
        <f t="shared" si="4"/>
        <v>1</v>
      </c>
      <c r="W8" s="29">
        <f t="shared" si="4"/>
        <v>1</v>
      </c>
      <c r="X8" s="29">
        <f t="shared" si="4"/>
        <v>1</v>
      </c>
      <c r="Y8" s="29">
        <f t="shared" si="4"/>
        <v>1</v>
      </c>
      <c r="Z8" s="29">
        <f t="shared" si="4"/>
        <v>1</v>
      </c>
      <c r="AA8" s="29">
        <f t="shared" si="4"/>
        <v>1</v>
      </c>
      <c r="AB8" s="29">
        <f t="shared" si="4"/>
        <v>1</v>
      </c>
      <c r="AC8" s="29">
        <f t="shared" si="4"/>
        <v>1</v>
      </c>
      <c r="AD8" s="29">
        <f t="shared" si="4"/>
        <v>1</v>
      </c>
      <c r="AE8" s="29">
        <f t="shared" si="4"/>
        <v>1</v>
      </c>
      <c r="AF8" s="29">
        <f t="shared" si="4"/>
        <v>1</v>
      </c>
      <c r="AG8" s="29">
        <f t="shared" si="4"/>
        <v>1</v>
      </c>
      <c r="AH8" s="29">
        <f t="shared" si="4"/>
        <v>1</v>
      </c>
      <c r="AI8" s="29">
        <f t="shared" si="4"/>
        <v>1</v>
      </c>
      <c r="AJ8" s="29">
        <f t="shared" si="4"/>
        <v>1</v>
      </c>
      <c r="AK8" s="29">
        <f t="shared" si="4"/>
        <v>1</v>
      </c>
      <c r="AL8" s="29">
        <f t="shared" si="4"/>
        <v>1</v>
      </c>
      <c r="AM8" s="29">
        <f t="shared" si="4"/>
        <v>1</v>
      </c>
      <c r="AN8" s="29">
        <f t="shared" si="4"/>
        <v>1</v>
      </c>
      <c r="AO8" s="29">
        <f t="shared" si="4"/>
        <v>1</v>
      </c>
      <c r="AP8" s="29">
        <f t="shared" si="4"/>
        <v>1</v>
      </c>
      <c r="AQ8" s="29">
        <f t="shared" si="4"/>
        <v>1</v>
      </c>
      <c r="AR8" s="29">
        <f t="shared" si="4"/>
        <v>1</v>
      </c>
      <c r="AS8" s="29">
        <f t="shared" si="4"/>
        <v>1</v>
      </c>
    </row>
    <row r="9" spans="2:1006" outlineLevel="1" x14ac:dyDescent="0.35"/>
    <row r="10" spans="2:1006" x14ac:dyDescent="0.35">
      <c r="B10" s="28" t="s">
        <v>107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</row>
    <row r="11" spans="2:1006" outlineLevel="1" x14ac:dyDescent="0.35">
      <c r="C11" s="33" t="s">
        <v>217</v>
      </c>
      <c r="E11" s="33" t="s">
        <v>90</v>
      </c>
      <c r="J11" s="24">
        <f>Allocation!J111</f>
        <v>0</v>
      </c>
      <c r="K11" s="24">
        <f>Allocation!K111</f>
        <v>4018700</v>
      </c>
      <c r="L11" s="24">
        <f>Allocation!L111</f>
        <v>3977186.5</v>
      </c>
      <c r="M11" s="24">
        <f>Allocation!M111</f>
        <v>3140883.843923755</v>
      </c>
      <c r="N11" s="24">
        <f>Allocation!N111</f>
        <v>0</v>
      </c>
      <c r="O11" s="24">
        <f>Allocation!O111</f>
        <v>0</v>
      </c>
      <c r="P11" s="24">
        <f>Allocation!P111</f>
        <v>0</v>
      </c>
      <c r="Q11" s="24">
        <f>Allocation!Q111</f>
        <v>0</v>
      </c>
      <c r="R11" s="24">
        <f>Allocation!R111</f>
        <v>0</v>
      </c>
      <c r="S11" s="24">
        <f>Allocation!S111</f>
        <v>0</v>
      </c>
      <c r="T11" s="24">
        <f>Allocation!T111</f>
        <v>0</v>
      </c>
      <c r="U11" s="24">
        <f>Allocation!U111</f>
        <v>0</v>
      </c>
      <c r="V11" s="24">
        <f>Allocation!V111</f>
        <v>0</v>
      </c>
      <c r="W11" s="24">
        <f>Allocation!W111</f>
        <v>0</v>
      </c>
      <c r="X11" s="24">
        <f>Allocation!X111</f>
        <v>0</v>
      </c>
      <c r="Y11" s="24">
        <f>Allocation!Y111</f>
        <v>0</v>
      </c>
      <c r="Z11" s="24">
        <f>Allocation!Z111</f>
        <v>0</v>
      </c>
      <c r="AA11" s="24">
        <f>Allocation!AA111</f>
        <v>0</v>
      </c>
      <c r="AB11" s="24">
        <f>Allocation!AB111</f>
        <v>0</v>
      </c>
      <c r="AC11" s="24">
        <f>Allocation!AC111</f>
        <v>0</v>
      </c>
      <c r="AD11" s="24">
        <f>Allocation!AD111</f>
        <v>0</v>
      </c>
      <c r="AE11" s="24">
        <f>Allocation!AE111</f>
        <v>0</v>
      </c>
      <c r="AF11" s="24">
        <f>Allocation!AF111</f>
        <v>0</v>
      </c>
      <c r="AG11" s="24">
        <f>Allocation!AG111</f>
        <v>0</v>
      </c>
      <c r="AH11" s="24">
        <f>Allocation!AH111</f>
        <v>0</v>
      </c>
      <c r="AI11" s="24">
        <f>Allocation!AI111</f>
        <v>0</v>
      </c>
      <c r="AJ11" s="24">
        <f>Allocation!AJ111</f>
        <v>0</v>
      </c>
      <c r="AK11" s="24">
        <f>Allocation!AK111</f>
        <v>0</v>
      </c>
      <c r="AL11" s="24">
        <f>Allocation!AL111</f>
        <v>0</v>
      </c>
      <c r="AM11" s="24">
        <f>Allocation!AM111</f>
        <v>0</v>
      </c>
      <c r="AN11" s="24">
        <f>Allocation!AN111</f>
        <v>0</v>
      </c>
      <c r="AO11" s="24">
        <f>Allocation!AO111</f>
        <v>0</v>
      </c>
      <c r="AP11" s="24">
        <f>Allocation!AP111</f>
        <v>0</v>
      </c>
      <c r="AQ11" s="24">
        <f>Allocation!AQ111</f>
        <v>0</v>
      </c>
      <c r="AR11" s="24">
        <f>Allocation!AR111</f>
        <v>0</v>
      </c>
      <c r="AS11" s="24">
        <f>Allocation!AS111</f>
        <v>0</v>
      </c>
    </row>
    <row r="12" spans="2:1006" outlineLevel="1" x14ac:dyDescent="0.35">
      <c r="C12" s="33" t="s">
        <v>217</v>
      </c>
      <c r="E12" s="33" t="s">
        <v>90</v>
      </c>
      <c r="J12" s="24">
        <f>Allocation!J112</f>
        <v>0</v>
      </c>
      <c r="K12" s="24">
        <f>Allocation!K112</f>
        <v>0</v>
      </c>
      <c r="L12" s="24">
        <f>Allocation!L112</f>
        <v>0</v>
      </c>
      <c r="M12" s="24">
        <f>Allocation!M112</f>
        <v>943549.88424679055</v>
      </c>
      <c r="N12" s="24">
        <f>Allocation!N112</f>
        <v>4623518.8271617191</v>
      </c>
      <c r="O12" s="24">
        <f>Allocation!O112</f>
        <v>4573408.0810359102</v>
      </c>
      <c r="P12" s="24">
        <f>Allocation!P112</f>
        <v>4523008.0256009307</v>
      </c>
      <c r="Q12" s="24">
        <f>Allocation!Q112</f>
        <v>4472309.3101425311</v>
      </c>
      <c r="R12" s="24">
        <f>Allocation!R112</f>
        <v>4421302.4147548135</v>
      </c>
      <c r="S12" s="24">
        <f>Allocation!S112</f>
        <v>4369977.6468672948</v>
      </c>
      <c r="T12" s="24">
        <f>Allocation!T112</f>
        <v>4318325.1377029391</v>
      </c>
      <c r="U12" s="24">
        <f>Allocation!U112</f>
        <v>4266334.8386658058</v>
      </c>
      <c r="V12" s="24">
        <f>Allocation!V112</f>
        <v>4213996.5176568842</v>
      </c>
      <c r="W12" s="24">
        <f>Allocation!W112</f>
        <v>4161299.7553166961</v>
      </c>
      <c r="X12" s="24">
        <f>Allocation!X112</f>
        <v>4108233.9411931718</v>
      </c>
      <c r="Y12" s="24">
        <f>Allocation!Y112</f>
        <v>4054788.2698333259</v>
      </c>
      <c r="Z12" s="24">
        <f>Allocation!Z112</f>
        <v>4000951.7367972005</v>
      </c>
      <c r="AA12" s="24">
        <f>Allocation!AA112</f>
        <v>3946713.1345925168</v>
      </c>
      <c r="AB12" s="24">
        <f>Allocation!AB112</f>
        <v>3892061.0485284436</v>
      </c>
      <c r="AC12" s="24">
        <f>Allocation!AC112</f>
        <v>3836983.8524868689</v>
      </c>
      <c r="AD12" s="24">
        <f>Allocation!AD112</f>
        <v>3781469.7046095226</v>
      </c>
      <c r="AE12" s="24">
        <f>Allocation!AE112</f>
        <v>5221901.8917385321</v>
      </c>
      <c r="AF12" s="24">
        <f>Allocation!AF112</f>
        <v>5157995.452828886</v>
      </c>
      <c r="AG12" s="24">
        <f>Allocation!AG112</f>
        <v>5093652.6075247675</v>
      </c>
      <c r="AH12" s="24">
        <f>Allocation!AH112</f>
        <v>5028860.4190863706</v>
      </c>
      <c r="AI12" s="24">
        <f>Allocation!AI112</f>
        <v>4963605.7130821506</v>
      </c>
      <c r="AJ12" s="24">
        <f>Allocation!AJ112</f>
        <v>4897875.072529776</v>
      </c>
      <c r="AK12" s="24">
        <f>Allocation!AK112</f>
        <v>4831654.8329404239</v>
      </c>
      <c r="AL12" s="24">
        <f>Allocation!AL112</f>
        <v>4764931.0772644849</v>
      </c>
      <c r="AM12" s="24">
        <f>Allocation!AM112</f>
        <v>4697689.6307366993</v>
      </c>
      <c r="AN12" s="24">
        <f>Allocation!AN112</f>
        <v>4629916.0556187239</v>
      </c>
      <c r="AO12" s="24">
        <f>Allocation!AO112</f>
        <v>4561595.6458370537</v>
      </c>
      <c r="AP12" s="24">
        <f>Allocation!AP112</f>
        <v>4492713.4215142187</v>
      </c>
      <c r="AQ12" s="24">
        <f>Allocation!AQ112</f>
        <v>4423254.1233911254</v>
      </c>
      <c r="AR12" s="24">
        <f>Allocation!AR112</f>
        <v>4353202.2071383372</v>
      </c>
      <c r="AS12" s="24">
        <f>Allocation!AS112</f>
        <v>4282541.8375540972</v>
      </c>
    </row>
    <row r="13" spans="2:1006" outlineLevel="1" x14ac:dyDescent="0.35">
      <c r="D13" s="33" t="s">
        <v>218</v>
      </c>
      <c r="E13" s="33" t="s">
        <v>90</v>
      </c>
      <c r="J13" s="34">
        <f>SUM(J11:J12)</f>
        <v>0</v>
      </c>
      <c r="K13" s="34">
        <f t="shared" ref="K13:AS13" si="5">SUM(K11:K12)</f>
        <v>4018700</v>
      </c>
      <c r="L13" s="34">
        <f t="shared" si="5"/>
        <v>3977186.5</v>
      </c>
      <c r="M13" s="34">
        <f t="shared" si="5"/>
        <v>4084433.7281705458</v>
      </c>
      <c r="N13" s="34">
        <f t="shared" si="5"/>
        <v>4623518.8271617191</v>
      </c>
      <c r="O13" s="34">
        <f t="shared" si="5"/>
        <v>4573408.0810359102</v>
      </c>
      <c r="P13" s="34">
        <f t="shared" si="5"/>
        <v>4523008.0256009307</v>
      </c>
      <c r="Q13" s="34">
        <f t="shared" si="5"/>
        <v>4472309.3101425311</v>
      </c>
      <c r="R13" s="34">
        <f t="shared" si="5"/>
        <v>4421302.4147548135</v>
      </c>
      <c r="S13" s="34">
        <f t="shared" si="5"/>
        <v>4369977.6468672948</v>
      </c>
      <c r="T13" s="34">
        <f t="shared" si="5"/>
        <v>4318325.1377029391</v>
      </c>
      <c r="U13" s="34">
        <f t="shared" si="5"/>
        <v>4266334.8386658058</v>
      </c>
      <c r="V13" s="34">
        <f t="shared" si="5"/>
        <v>4213996.5176568842</v>
      </c>
      <c r="W13" s="34">
        <f t="shared" si="5"/>
        <v>4161299.7553166961</v>
      </c>
      <c r="X13" s="34">
        <f t="shared" si="5"/>
        <v>4108233.9411931718</v>
      </c>
      <c r="Y13" s="34">
        <f t="shared" si="5"/>
        <v>4054788.2698333259</v>
      </c>
      <c r="Z13" s="34">
        <f t="shared" si="5"/>
        <v>4000951.7367972005</v>
      </c>
      <c r="AA13" s="34">
        <f t="shared" si="5"/>
        <v>3946713.1345925168</v>
      </c>
      <c r="AB13" s="34">
        <f t="shared" si="5"/>
        <v>3892061.0485284436</v>
      </c>
      <c r="AC13" s="34">
        <f t="shared" si="5"/>
        <v>3836983.8524868689</v>
      </c>
      <c r="AD13" s="34">
        <f t="shared" si="5"/>
        <v>3781469.7046095226</v>
      </c>
      <c r="AE13" s="34">
        <f t="shared" si="5"/>
        <v>5221901.8917385321</v>
      </c>
      <c r="AF13" s="34">
        <f t="shared" si="5"/>
        <v>5157995.452828886</v>
      </c>
      <c r="AG13" s="34">
        <f t="shared" si="5"/>
        <v>5093652.6075247675</v>
      </c>
      <c r="AH13" s="34">
        <f t="shared" si="5"/>
        <v>5028860.4190863706</v>
      </c>
      <c r="AI13" s="34">
        <f t="shared" si="5"/>
        <v>4963605.7130821506</v>
      </c>
      <c r="AJ13" s="34">
        <f t="shared" si="5"/>
        <v>4897875.072529776</v>
      </c>
      <c r="AK13" s="34">
        <f t="shared" si="5"/>
        <v>4831654.8329404239</v>
      </c>
      <c r="AL13" s="34">
        <f t="shared" si="5"/>
        <v>4764931.0772644849</v>
      </c>
      <c r="AM13" s="34">
        <f t="shared" si="5"/>
        <v>4697689.6307366993</v>
      </c>
      <c r="AN13" s="34">
        <f t="shared" si="5"/>
        <v>4629916.0556187239</v>
      </c>
      <c r="AO13" s="34">
        <f t="shared" si="5"/>
        <v>4561595.6458370537</v>
      </c>
      <c r="AP13" s="34">
        <f t="shared" si="5"/>
        <v>4492713.4215142187</v>
      </c>
      <c r="AQ13" s="34">
        <f t="shared" si="5"/>
        <v>4423254.1233911254</v>
      </c>
      <c r="AR13" s="34">
        <f t="shared" si="5"/>
        <v>4353202.2071383372</v>
      </c>
      <c r="AS13" s="34">
        <f t="shared" si="5"/>
        <v>4282541.8375540972</v>
      </c>
    </row>
    <row r="14" spans="2:1006" outlineLevel="1" x14ac:dyDescent="0.35"/>
    <row r="15" spans="2:1006" outlineLevel="1" x14ac:dyDescent="0.35">
      <c r="C15" s="33" t="s">
        <v>227</v>
      </c>
      <c r="E15" s="33" t="s">
        <v>90</v>
      </c>
      <c r="J15" s="24">
        <f>Allocation!J113</f>
        <v>60100000</v>
      </c>
      <c r="K15" s="24">
        <f>Allocation!K113</f>
        <v>0</v>
      </c>
      <c r="L15" s="24">
        <f>Allocation!L113</f>
        <v>0</v>
      </c>
      <c r="M15" s="24">
        <f>Allocation!M113</f>
        <v>0</v>
      </c>
      <c r="N15" s="24">
        <f>Allocation!N113</f>
        <v>0</v>
      </c>
      <c r="O15" s="24">
        <f>Allocation!O113</f>
        <v>0</v>
      </c>
      <c r="P15" s="24">
        <f>Allocation!P113</f>
        <v>0</v>
      </c>
      <c r="Q15" s="24">
        <f>Allocation!Q113</f>
        <v>0</v>
      </c>
      <c r="R15" s="24">
        <f>Allocation!R113</f>
        <v>0</v>
      </c>
      <c r="S15" s="24">
        <f>Allocation!S113</f>
        <v>0</v>
      </c>
      <c r="T15" s="24">
        <f>Allocation!T113</f>
        <v>0</v>
      </c>
      <c r="U15" s="24">
        <f>Allocation!U113</f>
        <v>0</v>
      </c>
      <c r="V15" s="24">
        <f>Allocation!V113</f>
        <v>0</v>
      </c>
      <c r="W15" s="24">
        <f>Allocation!W113</f>
        <v>0</v>
      </c>
      <c r="X15" s="24">
        <f>Allocation!X113</f>
        <v>0</v>
      </c>
      <c r="Y15" s="24">
        <f>Allocation!Y113</f>
        <v>0</v>
      </c>
      <c r="Z15" s="24">
        <f>Allocation!Z113</f>
        <v>0</v>
      </c>
      <c r="AA15" s="24">
        <f>Allocation!AA113</f>
        <v>0</v>
      </c>
      <c r="AB15" s="24">
        <f>Allocation!AB113</f>
        <v>0</v>
      </c>
      <c r="AC15" s="24">
        <f>Allocation!AC113</f>
        <v>0</v>
      </c>
      <c r="AD15" s="24">
        <f>Allocation!AD113</f>
        <v>0</v>
      </c>
      <c r="AE15" s="24">
        <f>Allocation!AE113</f>
        <v>0</v>
      </c>
      <c r="AF15" s="24">
        <f>Allocation!AF113</f>
        <v>0</v>
      </c>
      <c r="AG15" s="24">
        <f>Allocation!AG113</f>
        <v>0</v>
      </c>
      <c r="AH15" s="24">
        <f>Allocation!AH113</f>
        <v>0</v>
      </c>
      <c r="AI15" s="24">
        <f>Allocation!AI113</f>
        <v>0</v>
      </c>
      <c r="AJ15" s="24">
        <f>Allocation!AJ113</f>
        <v>0</v>
      </c>
      <c r="AK15" s="24">
        <f>Allocation!AK113</f>
        <v>0</v>
      </c>
      <c r="AL15" s="24">
        <f>Allocation!AL113</f>
        <v>0</v>
      </c>
      <c r="AM15" s="24">
        <f>Allocation!AM113</f>
        <v>0</v>
      </c>
      <c r="AN15" s="24">
        <f>Allocation!AN113</f>
        <v>0</v>
      </c>
      <c r="AO15" s="24">
        <f>Allocation!AO113</f>
        <v>0</v>
      </c>
      <c r="AP15" s="24">
        <f>Allocation!AP113</f>
        <v>0</v>
      </c>
      <c r="AQ15" s="24">
        <f>Allocation!AQ113</f>
        <v>0</v>
      </c>
      <c r="AR15" s="24">
        <f>Allocation!AR113</f>
        <v>0</v>
      </c>
      <c r="AS15" s="24">
        <f>Allocation!AS113</f>
        <v>0</v>
      </c>
    </row>
    <row r="16" spans="2:1006" outlineLevel="1" x14ac:dyDescent="0.35"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</row>
    <row r="17" spans="3:45" outlineLevel="1" x14ac:dyDescent="0.35">
      <c r="C17" s="33" t="s">
        <v>214</v>
      </c>
      <c r="E17" s="33" t="s">
        <v>90</v>
      </c>
      <c r="J17" s="24">
        <f>Allocation!J119</f>
        <v>0</v>
      </c>
      <c r="K17" s="24">
        <f>Allocation!K119</f>
        <v>-57980.912500000042</v>
      </c>
      <c r="L17" s="24">
        <f>Allocation!L119</f>
        <v>-30957.885437500023</v>
      </c>
      <c r="M17" s="24">
        <f>Allocation!M119</f>
        <v>-11802.490800755984</v>
      </c>
      <c r="N17" s="24">
        <f>Allocation!N119</f>
        <v>0</v>
      </c>
      <c r="O17" s="24">
        <f>Allocation!O119</f>
        <v>0</v>
      </c>
      <c r="P17" s="24">
        <f>Allocation!P119</f>
        <v>0</v>
      </c>
      <c r="Q17" s="24">
        <f>Allocation!Q119</f>
        <v>0</v>
      </c>
      <c r="R17" s="24">
        <f>Allocation!R119</f>
        <v>0</v>
      </c>
      <c r="S17" s="24">
        <f>Allocation!S119</f>
        <v>0</v>
      </c>
      <c r="T17" s="24">
        <f>Allocation!T119</f>
        <v>0</v>
      </c>
      <c r="U17" s="24">
        <f>Allocation!U119</f>
        <v>0</v>
      </c>
      <c r="V17" s="24">
        <f>Allocation!V119</f>
        <v>0</v>
      </c>
      <c r="W17" s="24">
        <f>Allocation!W119</f>
        <v>0</v>
      </c>
      <c r="X17" s="24">
        <f>Allocation!X119</f>
        <v>0</v>
      </c>
      <c r="Y17" s="24">
        <f>Allocation!Y119</f>
        <v>0</v>
      </c>
      <c r="Z17" s="24">
        <f>Allocation!Z119</f>
        <v>0</v>
      </c>
      <c r="AA17" s="24">
        <f>Allocation!AA119</f>
        <v>0</v>
      </c>
      <c r="AB17" s="24">
        <f>Allocation!AB119</f>
        <v>0</v>
      </c>
      <c r="AC17" s="24">
        <f>Allocation!AC119</f>
        <v>0</v>
      </c>
      <c r="AD17" s="24">
        <f>Allocation!AD119</f>
        <v>0</v>
      </c>
      <c r="AE17" s="24">
        <f>Allocation!AE119</f>
        <v>0</v>
      </c>
      <c r="AF17" s="24">
        <f>Allocation!AF119</f>
        <v>0</v>
      </c>
      <c r="AG17" s="24">
        <f>Allocation!AG119</f>
        <v>0</v>
      </c>
      <c r="AH17" s="24">
        <f>Allocation!AH119</f>
        <v>0</v>
      </c>
      <c r="AI17" s="24">
        <f>Allocation!AI119</f>
        <v>0</v>
      </c>
      <c r="AJ17" s="24">
        <f>Allocation!AJ119</f>
        <v>0</v>
      </c>
      <c r="AK17" s="24">
        <f>Allocation!AK119</f>
        <v>0</v>
      </c>
      <c r="AL17" s="24">
        <f>Allocation!AL119</f>
        <v>0</v>
      </c>
      <c r="AM17" s="24">
        <f>Allocation!AM119</f>
        <v>0</v>
      </c>
      <c r="AN17" s="24">
        <f>Allocation!AN119</f>
        <v>0</v>
      </c>
      <c r="AO17" s="24">
        <f>Allocation!AO119</f>
        <v>0</v>
      </c>
      <c r="AP17" s="24">
        <f>Allocation!AP119</f>
        <v>0</v>
      </c>
      <c r="AQ17" s="24">
        <f>Allocation!AQ119</f>
        <v>0</v>
      </c>
      <c r="AR17" s="24">
        <f>Allocation!AR119</f>
        <v>0</v>
      </c>
      <c r="AS17" s="24">
        <f>Allocation!AS119</f>
        <v>0</v>
      </c>
    </row>
    <row r="18" spans="3:45" outlineLevel="1" x14ac:dyDescent="0.35">
      <c r="C18" s="33" t="s">
        <v>215</v>
      </c>
      <c r="E18" s="33" t="s">
        <v>90</v>
      </c>
      <c r="J18" s="24">
        <f>Allocation!J120</f>
        <v>0</v>
      </c>
      <c r="K18" s="24">
        <f>Allocation!K120</f>
        <v>0</v>
      </c>
      <c r="L18" s="24">
        <f>Allocation!L120</f>
        <v>0</v>
      </c>
      <c r="M18" s="24">
        <f>Allocation!M120</f>
        <v>-295588.9786960964</v>
      </c>
      <c r="N18" s="24">
        <f>Allocation!N120</f>
        <v>-870575.30614008277</v>
      </c>
      <c r="O18" s="24">
        <f>Allocation!O120</f>
        <v>-881541.64731856238</v>
      </c>
      <c r="P18" s="24">
        <f>Allocation!P120</f>
        <v>920524.59844466695</v>
      </c>
      <c r="Q18" s="24">
        <f>Allocation!Q120</f>
        <v>909429.58481961279</v>
      </c>
      <c r="R18" s="24">
        <f>Allocation!R120</f>
        <v>898267.12845002708</v>
      </c>
      <c r="S18" s="24">
        <f>Allocation!S120</f>
        <v>887035.10819337959</v>
      </c>
      <c r="T18" s="24">
        <f>Allocation!T120</f>
        <v>875731.36434572749</v>
      </c>
      <c r="U18" s="24">
        <f>Allocation!U120</f>
        <v>864353.69785117987</v>
      </c>
      <c r="V18" s="24">
        <f>Allocation!V120</f>
        <v>852899.86949564866</v>
      </c>
      <c r="W18" s="24">
        <f>Allocation!W120</f>
        <v>841367.59908456949</v>
      </c>
      <c r="X18" s="24">
        <f>Allocation!X120</f>
        <v>829754.56460427411</v>
      </c>
      <c r="Y18" s="24">
        <f>Allocation!Y120</f>
        <v>818058.40136668261</v>
      </c>
      <c r="Z18" s="24">
        <f>Allocation!Z120</f>
        <v>875576.70113698742</v>
      </c>
      <c r="AA18" s="24">
        <f>Allocation!AA120</f>
        <v>863707.0112439834</v>
      </c>
      <c r="AB18" s="24">
        <f>Allocation!AB120</f>
        <v>851746.83367269835</v>
      </c>
      <c r="AC18" s="24">
        <f>Allocation!AC120</f>
        <v>839693.62413896841</v>
      </c>
      <c r="AD18" s="24">
        <f>Allocation!AD120</f>
        <v>827544.79114559968</v>
      </c>
      <c r="AE18" s="24">
        <f>Allocation!AE120</f>
        <v>1142772.0034657272</v>
      </c>
      <c r="AF18" s="24">
        <f>Allocation!AF120</f>
        <v>1128786.5838348686</v>
      </c>
      <c r="AG18" s="24">
        <f>Allocation!AG120</f>
        <v>1114705.6601098939</v>
      </c>
      <c r="AH18" s="24">
        <f>Allocation!AH120</f>
        <v>1100526.4011874278</v>
      </c>
      <c r="AI18" s="24">
        <f>Allocation!AI120</f>
        <v>1086245.9239471359</v>
      </c>
      <c r="AJ18" s="24">
        <f>Allocation!AJ120</f>
        <v>1071861.2921883583</v>
      </c>
      <c r="AK18" s="24">
        <f>Allocation!AK120</f>
        <v>1057369.5155455938</v>
      </c>
      <c r="AL18" s="24">
        <f>Allocation!AL120</f>
        <v>1042767.5483824066</v>
      </c>
      <c r="AM18" s="24">
        <f>Allocation!AM120</f>
        <v>1028052.2886633261</v>
      </c>
      <c r="AN18" s="24">
        <f>Allocation!AN120</f>
        <v>1013220.5768032976</v>
      </c>
      <c r="AO18" s="24">
        <f>Allocation!AO120</f>
        <v>998269.19449423533</v>
      </c>
      <c r="AP18" s="24">
        <f>Allocation!AP120</f>
        <v>983194.86350821692</v>
      </c>
      <c r="AQ18" s="24">
        <f>Allocation!AQ120</f>
        <v>967994.24447685783</v>
      </c>
      <c r="AR18" s="24">
        <f>Allocation!AR120</f>
        <v>952663.93564637937</v>
      </c>
      <c r="AS18" s="24">
        <f>Allocation!AS120</f>
        <v>937200.47160789149</v>
      </c>
    </row>
    <row r="19" spans="3:45" outlineLevel="1" x14ac:dyDescent="0.35">
      <c r="C19" s="33" t="s">
        <v>165</v>
      </c>
      <c r="E19" s="33" t="s">
        <v>90</v>
      </c>
      <c r="J19" s="24">
        <f>Allocation!J121</f>
        <v>285000</v>
      </c>
      <c r="K19" s="24">
        <f>Allocation!K121</f>
        <v>0</v>
      </c>
      <c r="L19" s="24">
        <f>Allocation!L121</f>
        <v>0</v>
      </c>
      <c r="M19" s="24">
        <f>Allocation!M121</f>
        <v>0</v>
      </c>
      <c r="N19" s="24">
        <f>Allocation!N121</f>
        <v>0</v>
      </c>
      <c r="O19" s="24">
        <f>Allocation!O121</f>
        <v>0</v>
      </c>
      <c r="P19" s="24">
        <f>Allocation!P121</f>
        <v>0</v>
      </c>
      <c r="Q19" s="24">
        <f>Allocation!Q121</f>
        <v>0</v>
      </c>
      <c r="R19" s="24">
        <f>Allocation!R121</f>
        <v>0</v>
      </c>
      <c r="S19" s="24">
        <f>Allocation!S121</f>
        <v>0</v>
      </c>
      <c r="T19" s="24">
        <f>Allocation!T121</f>
        <v>0</v>
      </c>
      <c r="U19" s="24">
        <f>Allocation!U121</f>
        <v>0</v>
      </c>
      <c r="V19" s="24">
        <f>Allocation!V121</f>
        <v>0</v>
      </c>
      <c r="W19" s="24">
        <f>Allocation!W121</f>
        <v>0</v>
      </c>
      <c r="X19" s="24">
        <f>Allocation!X121</f>
        <v>0</v>
      </c>
      <c r="Y19" s="24">
        <f>Allocation!Y121</f>
        <v>0</v>
      </c>
      <c r="Z19" s="24">
        <f>Allocation!Z121</f>
        <v>0</v>
      </c>
      <c r="AA19" s="24">
        <f>Allocation!AA121</f>
        <v>0</v>
      </c>
      <c r="AB19" s="24">
        <f>Allocation!AB121</f>
        <v>0</v>
      </c>
      <c r="AC19" s="24">
        <f>Allocation!AC121</f>
        <v>0</v>
      </c>
      <c r="AD19" s="24">
        <f>Allocation!AD121</f>
        <v>0</v>
      </c>
      <c r="AE19" s="24">
        <f>Allocation!AE121</f>
        <v>0</v>
      </c>
      <c r="AF19" s="24">
        <f>Allocation!AF121</f>
        <v>0</v>
      </c>
      <c r="AG19" s="24">
        <f>Allocation!AG121</f>
        <v>0</v>
      </c>
      <c r="AH19" s="24">
        <f>Allocation!AH121</f>
        <v>0</v>
      </c>
      <c r="AI19" s="24">
        <f>Allocation!AI121</f>
        <v>0</v>
      </c>
      <c r="AJ19" s="24">
        <f>Allocation!AJ121</f>
        <v>0</v>
      </c>
      <c r="AK19" s="24">
        <f>Allocation!AK121</f>
        <v>0</v>
      </c>
      <c r="AL19" s="24">
        <f>Allocation!AL121</f>
        <v>0</v>
      </c>
      <c r="AM19" s="24">
        <f>Allocation!AM121</f>
        <v>0</v>
      </c>
      <c r="AN19" s="24">
        <f>Allocation!AN121</f>
        <v>0</v>
      </c>
      <c r="AO19" s="24">
        <f>Allocation!AO121</f>
        <v>0</v>
      </c>
      <c r="AP19" s="24">
        <f>Allocation!AP121</f>
        <v>0</v>
      </c>
      <c r="AQ19" s="24">
        <f>Allocation!AQ121</f>
        <v>0</v>
      </c>
      <c r="AR19" s="24">
        <f>Allocation!AR121</f>
        <v>0</v>
      </c>
      <c r="AS19" s="24">
        <f>Allocation!AS121</f>
        <v>0</v>
      </c>
    </row>
    <row r="20" spans="3:45" outlineLevel="1" x14ac:dyDescent="0.35">
      <c r="C20" s="33" t="s">
        <v>234</v>
      </c>
      <c r="E20" s="33" t="s">
        <v>90</v>
      </c>
      <c r="J20" s="34">
        <f>-J17-J18+J19</f>
        <v>285000</v>
      </c>
      <c r="K20" s="34">
        <f t="shared" ref="K20:AS20" si="6">-K17-K18+K19</f>
        <v>57980.912500000042</v>
      </c>
      <c r="L20" s="34">
        <f t="shared" si="6"/>
        <v>30957.885437500023</v>
      </c>
      <c r="M20" s="34">
        <f t="shared" si="6"/>
        <v>307391.46949685237</v>
      </c>
      <c r="N20" s="34">
        <f t="shared" si="6"/>
        <v>870575.30614008277</v>
      </c>
      <c r="O20" s="34">
        <f t="shared" si="6"/>
        <v>881541.64731856238</v>
      </c>
      <c r="P20" s="34">
        <f t="shared" si="6"/>
        <v>-920524.59844466695</v>
      </c>
      <c r="Q20" s="34">
        <f t="shared" si="6"/>
        <v>-909429.58481961279</v>
      </c>
      <c r="R20" s="34">
        <f t="shared" si="6"/>
        <v>-898267.12845002708</v>
      </c>
      <c r="S20" s="34">
        <f t="shared" si="6"/>
        <v>-887035.10819337959</v>
      </c>
      <c r="T20" s="34">
        <f t="shared" si="6"/>
        <v>-875731.36434572749</v>
      </c>
      <c r="U20" s="34">
        <f t="shared" si="6"/>
        <v>-864353.69785117987</v>
      </c>
      <c r="V20" s="34">
        <f t="shared" si="6"/>
        <v>-852899.86949564866</v>
      </c>
      <c r="W20" s="34">
        <f t="shared" si="6"/>
        <v>-841367.59908456949</v>
      </c>
      <c r="X20" s="34">
        <f t="shared" si="6"/>
        <v>-829754.56460427411</v>
      </c>
      <c r="Y20" s="34">
        <f t="shared" si="6"/>
        <v>-818058.40136668261</v>
      </c>
      <c r="Z20" s="34">
        <f t="shared" si="6"/>
        <v>-875576.70113698742</v>
      </c>
      <c r="AA20" s="34">
        <f t="shared" si="6"/>
        <v>-863707.0112439834</v>
      </c>
      <c r="AB20" s="34">
        <f t="shared" si="6"/>
        <v>-851746.83367269835</v>
      </c>
      <c r="AC20" s="34">
        <f t="shared" si="6"/>
        <v>-839693.62413896841</v>
      </c>
      <c r="AD20" s="34">
        <f t="shared" si="6"/>
        <v>-827544.79114559968</v>
      </c>
      <c r="AE20" s="34">
        <f t="shared" si="6"/>
        <v>-1142772.0034657272</v>
      </c>
      <c r="AF20" s="34">
        <f t="shared" si="6"/>
        <v>-1128786.5838348686</v>
      </c>
      <c r="AG20" s="34">
        <f t="shared" si="6"/>
        <v>-1114705.6601098939</v>
      </c>
      <c r="AH20" s="34">
        <f t="shared" si="6"/>
        <v>-1100526.4011874278</v>
      </c>
      <c r="AI20" s="34">
        <f t="shared" si="6"/>
        <v>-1086245.9239471359</v>
      </c>
      <c r="AJ20" s="34">
        <f t="shared" si="6"/>
        <v>-1071861.2921883583</v>
      </c>
      <c r="AK20" s="34">
        <f t="shared" si="6"/>
        <v>-1057369.5155455938</v>
      </c>
      <c r="AL20" s="34">
        <f t="shared" si="6"/>
        <v>-1042767.5483824066</v>
      </c>
      <c r="AM20" s="34">
        <f t="shared" si="6"/>
        <v>-1028052.2886633261</v>
      </c>
      <c r="AN20" s="34">
        <f t="shared" si="6"/>
        <v>-1013220.5768032976</v>
      </c>
      <c r="AO20" s="34">
        <f t="shared" si="6"/>
        <v>-998269.19449423533</v>
      </c>
      <c r="AP20" s="34">
        <f t="shared" si="6"/>
        <v>-983194.86350821692</v>
      </c>
      <c r="AQ20" s="34">
        <f t="shared" si="6"/>
        <v>-967994.24447685783</v>
      </c>
      <c r="AR20" s="34">
        <f t="shared" si="6"/>
        <v>-952663.93564637937</v>
      </c>
      <c r="AS20" s="34">
        <f t="shared" si="6"/>
        <v>-937200.47160789149</v>
      </c>
    </row>
    <row r="21" spans="3:45" outlineLevel="1" x14ac:dyDescent="0.35"/>
    <row r="22" spans="3:45" outlineLevel="1" x14ac:dyDescent="0.35">
      <c r="C22" s="33" t="s">
        <v>219</v>
      </c>
      <c r="E22" s="33" t="s">
        <v>73</v>
      </c>
      <c r="F22" s="33" t="s">
        <v>67</v>
      </c>
      <c r="G22" s="23">
        <f>Inputs!F44</f>
        <v>18</v>
      </c>
      <c r="I22" s="43">
        <f>SUM(J22:XFD22)</f>
        <v>18</v>
      </c>
      <c r="J22" s="33">
        <f t="shared" ref="J22:AS22" si="7">(AND(J2,J2&lt;=$G$22))*1</f>
        <v>0</v>
      </c>
      <c r="K22" s="33">
        <f t="shared" si="7"/>
        <v>1</v>
      </c>
      <c r="L22" s="33">
        <f t="shared" si="7"/>
        <v>1</v>
      </c>
      <c r="M22" s="33">
        <f t="shared" si="7"/>
        <v>1</v>
      </c>
      <c r="N22" s="33">
        <f t="shared" si="7"/>
        <v>1</v>
      </c>
      <c r="O22" s="33">
        <f t="shared" si="7"/>
        <v>1</v>
      </c>
      <c r="P22" s="33">
        <f t="shared" si="7"/>
        <v>1</v>
      </c>
      <c r="Q22" s="33">
        <f t="shared" si="7"/>
        <v>1</v>
      </c>
      <c r="R22" s="33">
        <f t="shared" si="7"/>
        <v>1</v>
      </c>
      <c r="S22" s="33">
        <f t="shared" si="7"/>
        <v>1</v>
      </c>
      <c r="T22" s="33">
        <f t="shared" si="7"/>
        <v>1</v>
      </c>
      <c r="U22" s="33">
        <f t="shared" si="7"/>
        <v>1</v>
      </c>
      <c r="V22" s="33">
        <f t="shared" si="7"/>
        <v>1</v>
      </c>
      <c r="W22" s="33">
        <f t="shared" si="7"/>
        <v>1</v>
      </c>
      <c r="X22" s="33">
        <f t="shared" si="7"/>
        <v>1</v>
      </c>
      <c r="Y22" s="33">
        <f t="shared" si="7"/>
        <v>1</v>
      </c>
      <c r="Z22" s="33">
        <f t="shared" si="7"/>
        <v>1</v>
      </c>
      <c r="AA22" s="33">
        <f t="shared" si="7"/>
        <v>1</v>
      </c>
      <c r="AB22" s="33">
        <f t="shared" si="7"/>
        <v>1</v>
      </c>
      <c r="AC22" s="33">
        <f t="shared" si="7"/>
        <v>0</v>
      </c>
      <c r="AD22" s="33">
        <f t="shared" si="7"/>
        <v>0</v>
      </c>
      <c r="AE22" s="33">
        <f t="shared" si="7"/>
        <v>0</v>
      </c>
      <c r="AF22" s="33">
        <f t="shared" si="7"/>
        <v>0</v>
      </c>
      <c r="AG22" s="33">
        <f t="shared" si="7"/>
        <v>0</v>
      </c>
      <c r="AH22" s="33">
        <f t="shared" si="7"/>
        <v>0</v>
      </c>
      <c r="AI22" s="33">
        <f t="shared" si="7"/>
        <v>0</v>
      </c>
      <c r="AJ22" s="33">
        <f t="shared" si="7"/>
        <v>0</v>
      </c>
      <c r="AK22" s="33">
        <f t="shared" si="7"/>
        <v>0</v>
      </c>
      <c r="AL22" s="33">
        <f t="shared" si="7"/>
        <v>0</v>
      </c>
      <c r="AM22" s="33">
        <f t="shared" si="7"/>
        <v>0</v>
      </c>
      <c r="AN22" s="33">
        <f t="shared" si="7"/>
        <v>0</v>
      </c>
      <c r="AO22" s="33">
        <f t="shared" si="7"/>
        <v>0</v>
      </c>
      <c r="AP22" s="33">
        <f t="shared" si="7"/>
        <v>0</v>
      </c>
      <c r="AQ22" s="33">
        <f t="shared" si="7"/>
        <v>0</v>
      </c>
      <c r="AR22" s="33">
        <f t="shared" si="7"/>
        <v>0</v>
      </c>
      <c r="AS22" s="33">
        <f t="shared" si="7"/>
        <v>0</v>
      </c>
    </row>
    <row r="23" spans="3:45" outlineLevel="1" x14ac:dyDescent="0.35">
      <c r="C23" s="33" t="s">
        <v>220</v>
      </c>
      <c r="E23" s="33" t="s">
        <v>90</v>
      </c>
      <c r="F23" s="33" t="s">
        <v>63</v>
      </c>
      <c r="G23" s="23">
        <f>Inputs!F46</f>
        <v>1.3</v>
      </c>
      <c r="J23" s="34" t="b">
        <f>IF(J22,J13/$G$23)</f>
        <v>0</v>
      </c>
      <c r="K23" s="34">
        <f t="shared" ref="K23:AS23" si="8">IF(K22,K13/$G$23)</f>
        <v>3091307.692307692</v>
      </c>
      <c r="L23" s="34">
        <f t="shared" si="8"/>
        <v>3059374.2307692305</v>
      </c>
      <c r="M23" s="34">
        <f t="shared" si="8"/>
        <v>3141872.0985927274</v>
      </c>
      <c r="N23" s="34">
        <f t="shared" si="8"/>
        <v>3556552.9439705531</v>
      </c>
      <c r="O23" s="34">
        <f t="shared" si="8"/>
        <v>3518006.2161814691</v>
      </c>
      <c r="P23" s="34">
        <f t="shared" si="8"/>
        <v>3479236.9427699465</v>
      </c>
      <c r="Q23" s="34">
        <f t="shared" si="8"/>
        <v>3440237.9308788697</v>
      </c>
      <c r="R23" s="34">
        <f t="shared" si="8"/>
        <v>3401001.8575037024</v>
      </c>
      <c r="S23" s="34">
        <f t="shared" si="8"/>
        <v>3361521.2668209961</v>
      </c>
      <c r="T23" s="34">
        <f t="shared" si="8"/>
        <v>3321788.5674637994</v>
      </c>
      <c r="U23" s="34">
        <f t="shared" si="8"/>
        <v>3281796.0297429273</v>
      </c>
      <c r="V23" s="34">
        <f t="shared" si="8"/>
        <v>3241535.7828129879</v>
      </c>
      <c r="W23" s="34">
        <f t="shared" si="8"/>
        <v>3200999.8117820737</v>
      </c>
      <c r="X23" s="34">
        <f t="shared" si="8"/>
        <v>3160179.9547639783</v>
      </c>
      <c r="Y23" s="34">
        <f t="shared" si="8"/>
        <v>3119067.8998717889</v>
      </c>
      <c r="Z23" s="34">
        <f t="shared" si="8"/>
        <v>3077655.1821516925</v>
      </c>
      <c r="AA23" s="34">
        <f t="shared" si="8"/>
        <v>3035933.180455782</v>
      </c>
      <c r="AB23" s="34">
        <f t="shared" si="8"/>
        <v>2993893.1142526488</v>
      </c>
      <c r="AC23" s="34" t="b">
        <f t="shared" si="8"/>
        <v>0</v>
      </c>
      <c r="AD23" s="34" t="b">
        <f t="shared" si="8"/>
        <v>0</v>
      </c>
      <c r="AE23" s="34" t="b">
        <f t="shared" si="8"/>
        <v>0</v>
      </c>
      <c r="AF23" s="34" t="b">
        <f t="shared" si="8"/>
        <v>0</v>
      </c>
      <c r="AG23" s="34" t="b">
        <f t="shared" si="8"/>
        <v>0</v>
      </c>
      <c r="AH23" s="34" t="b">
        <f t="shared" si="8"/>
        <v>0</v>
      </c>
      <c r="AI23" s="34" t="b">
        <f t="shared" si="8"/>
        <v>0</v>
      </c>
      <c r="AJ23" s="34" t="b">
        <f t="shared" si="8"/>
        <v>0</v>
      </c>
      <c r="AK23" s="34" t="b">
        <f t="shared" si="8"/>
        <v>0</v>
      </c>
      <c r="AL23" s="34" t="b">
        <f t="shared" si="8"/>
        <v>0</v>
      </c>
      <c r="AM23" s="34" t="b">
        <f t="shared" si="8"/>
        <v>0</v>
      </c>
      <c r="AN23" s="34" t="b">
        <f t="shared" si="8"/>
        <v>0</v>
      </c>
      <c r="AO23" s="34" t="b">
        <f t="shared" si="8"/>
        <v>0</v>
      </c>
      <c r="AP23" s="34" t="b">
        <f t="shared" si="8"/>
        <v>0</v>
      </c>
      <c r="AQ23" s="34" t="b">
        <f t="shared" si="8"/>
        <v>0</v>
      </c>
      <c r="AR23" s="34" t="b">
        <f t="shared" si="8"/>
        <v>0</v>
      </c>
      <c r="AS23" s="34" t="b">
        <f t="shared" si="8"/>
        <v>0</v>
      </c>
    </row>
    <row r="24" spans="3:45" outlineLevel="1" x14ac:dyDescent="0.35"/>
    <row r="25" spans="3:45" outlineLevel="1" x14ac:dyDescent="0.35">
      <c r="C25" s="33" t="s">
        <v>221</v>
      </c>
      <c r="E25" s="33" t="s">
        <v>90</v>
      </c>
      <c r="F25" s="33" t="s">
        <v>60</v>
      </c>
      <c r="G25" s="25">
        <f>Inputs!$F$45</f>
        <v>0.04</v>
      </c>
      <c r="I25" s="21">
        <f>NPV(G25,J23:AS23)</f>
        <v>41296036.673397548</v>
      </c>
    </row>
    <row r="26" spans="3:45" outlineLevel="1" x14ac:dyDescent="0.35"/>
    <row r="27" spans="3:45" outlineLevel="1" x14ac:dyDescent="0.35">
      <c r="C27" s="33" t="s">
        <v>222</v>
      </c>
      <c r="E27" s="33" t="s">
        <v>90</v>
      </c>
      <c r="J27" s="34">
        <f>I30</f>
        <v>0</v>
      </c>
      <c r="K27" s="34">
        <f t="shared" ref="K27:AS27" si="9">J30</f>
        <v>41296036.673397548</v>
      </c>
      <c r="L27" s="34">
        <f t="shared" si="9"/>
        <v>39856570.448025756</v>
      </c>
      <c r="M27" s="34">
        <f t="shared" si="9"/>
        <v>38391459.035177559</v>
      </c>
      <c r="N27" s="34">
        <f t="shared" si="9"/>
        <v>36785245.297991931</v>
      </c>
      <c r="O27" s="34">
        <f t="shared" si="9"/>
        <v>34700102.165941052</v>
      </c>
      <c r="P27" s="34">
        <f t="shared" si="9"/>
        <v>32570100.036397226</v>
      </c>
      <c r="Q27" s="34">
        <f t="shared" si="9"/>
        <v>30393667.09508317</v>
      </c>
      <c r="R27" s="34">
        <f t="shared" si="9"/>
        <v>28169175.848007627</v>
      </c>
      <c r="S27" s="34">
        <f t="shared" si="9"/>
        <v>25894941.024424229</v>
      </c>
      <c r="T27" s="34">
        <f t="shared" si="9"/>
        <v>23569217.398580201</v>
      </c>
      <c r="U27" s="34">
        <f t="shared" si="9"/>
        <v>21190197.527059611</v>
      </c>
      <c r="V27" s="34">
        <f t="shared" si="9"/>
        <v>18756009.39839907</v>
      </c>
      <c r="W27" s="34">
        <f t="shared" si="9"/>
        <v>16264713.991522044</v>
      </c>
      <c r="X27" s="34">
        <f t="shared" si="9"/>
        <v>13714302.739400852</v>
      </c>
      <c r="Y27" s="34">
        <f t="shared" si="9"/>
        <v>11102694.894212909</v>
      </c>
      <c r="Z27" s="34">
        <f t="shared" si="9"/>
        <v>8427734.7901096363</v>
      </c>
      <c r="AA27" s="34">
        <f t="shared" si="9"/>
        <v>5687188.9995623287</v>
      </c>
      <c r="AB27" s="34">
        <f t="shared" si="9"/>
        <v>2878743.3790890398</v>
      </c>
      <c r="AC27" s="34">
        <f t="shared" si="9"/>
        <v>-4.7497451305389404E-8</v>
      </c>
      <c r="AD27" s="34">
        <f t="shared" si="9"/>
        <v>-4.939734935760498E-8</v>
      </c>
      <c r="AE27" s="34">
        <f t="shared" si="9"/>
        <v>-5.137324333190918E-8</v>
      </c>
      <c r="AF27" s="34">
        <f t="shared" si="9"/>
        <v>-5.3428173065185544E-8</v>
      </c>
      <c r="AG27" s="34">
        <f t="shared" si="9"/>
        <v>-5.5565299987792963E-8</v>
      </c>
      <c r="AH27" s="34">
        <f t="shared" si="9"/>
        <v>-5.7787911987304683E-8</v>
      </c>
      <c r="AI27" s="34">
        <f t="shared" si="9"/>
        <v>-6.0099428466796871E-8</v>
      </c>
      <c r="AJ27" s="34">
        <f t="shared" si="9"/>
        <v>-6.2503405605468747E-8</v>
      </c>
      <c r="AK27" s="34">
        <f t="shared" si="9"/>
        <v>-6.5003541829687493E-8</v>
      </c>
      <c r="AL27" s="34">
        <f t="shared" si="9"/>
        <v>-6.7603683502874993E-8</v>
      </c>
      <c r="AM27" s="34">
        <f t="shared" si="9"/>
        <v>-7.0307830842989995E-8</v>
      </c>
      <c r="AN27" s="34">
        <f t="shared" si="9"/>
        <v>-7.3120144076709595E-8</v>
      </c>
      <c r="AO27" s="34">
        <f t="shared" si="9"/>
        <v>-7.6044949839777982E-8</v>
      </c>
      <c r="AP27" s="34">
        <f t="shared" si="9"/>
        <v>-7.9086747833369096E-8</v>
      </c>
      <c r="AQ27" s="34">
        <f t="shared" si="9"/>
        <v>-8.2250217746703858E-8</v>
      </c>
      <c r="AR27" s="34">
        <f t="shared" si="9"/>
        <v>-8.554022645657201E-8</v>
      </c>
      <c r="AS27" s="34">
        <f t="shared" si="9"/>
        <v>-8.8961835514834894E-8</v>
      </c>
    </row>
    <row r="28" spans="3:45" outlineLevel="1" x14ac:dyDescent="0.35">
      <c r="C28" s="33" t="s">
        <v>223</v>
      </c>
      <c r="E28" s="33" t="s">
        <v>90</v>
      </c>
      <c r="G28" s="34">
        <f>I25</f>
        <v>41296036.673397548</v>
      </c>
      <c r="J28" s="34">
        <f>G28*(J2=0)</f>
        <v>41296036.673397548</v>
      </c>
      <c r="K28" s="34">
        <f t="shared" ref="K28:AS28" si="10">H28*(K2=0)</f>
        <v>0</v>
      </c>
      <c r="L28" s="34">
        <f t="shared" si="10"/>
        <v>0</v>
      </c>
      <c r="M28" s="34">
        <f t="shared" si="10"/>
        <v>0</v>
      </c>
      <c r="N28" s="34">
        <f t="shared" si="10"/>
        <v>0</v>
      </c>
      <c r="O28" s="34">
        <f t="shared" si="10"/>
        <v>0</v>
      </c>
      <c r="P28" s="34">
        <f t="shared" si="10"/>
        <v>0</v>
      </c>
      <c r="Q28" s="34">
        <f t="shared" si="10"/>
        <v>0</v>
      </c>
      <c r="R28" s="34">
        <f t="shared" si="10"/>
        <v>0</v>
      </c>
      <c r="S28" s="34">
        <f t="shared" si="10"/>
        <v>0</v>
      </c>
      <c r="T28" s="34">
        <f t="shared" si="10"/>
        <v>0</v>
      </c>
      <c r="U28" s="34">
        <f t="shared" si="10"/>
        <v>0</v>
      </c>
      <c r="V28" s="34">
        <f t="shared" si="10"/>
        <v>0</v>
      </c>
      <c r="W28" s="34">
        <f t="shared" si="10"/>
        <v>0</v>
      </c>
      <c r="X28" s="34">
        <f t="shared" si="10"/>
        <v>0</v>
      </c>
      <c r="Y28" s="34">
        <f t="shared" si="10"/>
        <v>0</v>
      </c>
      <c r="Z28" s="34">
        <f t="shared" si="10"/>
        <v>0</v>
      </c>
      <c r="AA28" s="34">
        <f t="shared" si="10"/>
        <v>0</v>
      </c>
      <c r="AB28" s="34">
        <f t="shared" si="10"/>
        <v>0</v>
      </c>
      <c r="AC28" s="34">
        <f t="shared" si="10"/>
        <v>0</v>
      </c>
      <c r="AD28" s="34">
        <f t="shared" si="10"/>
        <v>0</v>
      </c>
      <c r="AE28" s="34">
        <f t="shared" si="10"/>
        <v>0</v>
      </c>
      <c r="AF28" s="34">
        <f t="shared" si="10"/>
        <v>0</v>
      </c>
      <c r="AG28" s="34">
        <f t="shared" si="10"/>
        <v>0</v>
      </c>
      <c r="AH28" s="34">
        <f t="shared" si="10"/>
        <v>0</v>
      </c>
      <c r="AI28" s="34">
        <f t="shared" si="10"/>
        <v>0</v>
      </c>
      <c r="AJ28" s="34">
        <f t="shared" si="10"/>
        <v>0</v>
      </c>
      <c r="AK28" s="34">
        <f t="shared" si="10"/>
        <v>0</v>
      </c>
      <c r="AL28" s="34">
        <f t="shared" si="10"/>
        <v>0</v>
      </c>
      <c r="AM28" s="34">
        <f t="shared" si="10"/>
        <v>0</v>
      </c>
      <c r="AN28" s="34">
        <f t="shared" si="10"/>
        <v>0</v>
      </c>
      <c r="AO28" s="34">
        <f t="shared" si="10"/>
        <v>0</v>
      </c>
      <c r="AP28" s="34">
        <f t="shared" si="10"/>
        <v>0</v>
      </c>
      <c r="AQ28" s="34">
        <f t="shared" si="10"/>
        <v>0</v>
      </c>
      <c r="AR28" s="34">
        <f t="shared" si="10"/>
        <v>0</v>
      </c>
      <c r="AS28" s="34">
        <f t="shared" si="10"/>
        <v>0</v>
      </c>
    </row>
    <row r="29" spans="3:45" outlineLevel="1" x14ac:dyDescent="0.35">
      <c r="C29" s="33" t="s">
        <v>224</v>
      </c>
      <c r="E29" s="33" t="s">
        <v>90</v>
      </c>
      <c r="J29" s="34">
        <f>J23-J31</f>
        <v>0</v>
      </c>
      <c r="K29" s="34">
        <f t="shared" ref="K29:AS29" si="11">K23-K31</f>
        <v>1439466.2253717901</v>
      </c>
      <c r="L29" s="34">
        <f t="shared" si="11"/>
        <v>1465111.4128482002</v>
      </c>
      <c r="M29" s="34">
        <f t="shared" si="11"/>
        <v>1606213.7371856251</v>
      </c>
      <c r="N29" s="34">
        <f t="shared" si="11"/>
        <v>2085143.1320508758</v>
      </c>
      <c r="O29" s="34">
        <f t="shared" si="11"/>
        <v>2130002.1295438269</v>
      </c>
      <c r="P29" s="34">
        <f t="shared" si="11"/>
        <v>2176432.9413140574</v>
      </c>
      <c r="Q29" s="34">
        <f t="shared" si="11"/>
        <v>2224491.2470755428</v>
      </c>
      <c r="R29" s="34">
        <f t="shared" si="11"/>
        <v>2274234.8235833971</v>
      </c>
      <c r="S29" s="34">
        <f t="shared" si="11"/>
        <v>2325723.6258440269</v>
      </c>
      <c r="T29" s="34">
        <f t="shared" si="11"/>
        <v>2379019.8715205914</v>
      </c>
      <c r="U29" s="34">
        <f t="shared" si="11"/>
        <v>2434188.1286605429</v>
      </c>
      <c r="V29" s="34">
        <f t="shared" si="11"/>
        <v>2491295.406877025</v>
      </c>
      <c r="W29" s="34">
        <f t="shared" si="11"/>
        <v>2550411.2521211919</v>
      </c>
      <c r="X29" s="34">
        <f t="shared" si="11"/>
        <v>2611607.8451879444</v>
      </c>
      <c r="Y29" s="34">
        <f t="shared" si="11"/>
        <v>2674960.1041032728</v>
      </c>
      <c r="Z29" s="34">
        <f t="shared" si="11"/>
        <v>2740545.7905473071</v>
      </c>
      <c r="AA29" s="34">
        <f t="shared" si="11"/>
        <v>2808445.6204732889</v>
      </c>
      <c r="AB29" s="34">
        <f t="shared" si="11"/>
        <v>2878743.3790890872</v>
      </c>
      <c r="AC29" s="34">
        <f t="shared" si="11"/>
        <v>1.8998980522155762E-9</v>
      </c>
      <c r="AD29" s="34">
        <f t="shared" si="11"/>
        <v>1.9758939743041992E-9</v>
      </c>
      <c r="AE29" s="34">
        <f t="shared" si="11"/>
        <v>2.0549297332763672E-9</v>
      </c>
      <c r="AF29" s="34">
        <f t="shared" si="11"/>
        <v>2.1371269226074217E-9</v>
      </c>
      <c r="AG29" s="34">
        <f t="shared" si="11"/>
        <v>2.2226119995117184E-9</v>
      </c>
      <c r="AH29" s="34">
        <f t="shared" si="11"/>
        <v>2.3115164794921875E-9</v>
      </c>
      <c r="AI29" s="34">
        <f t="shared" si="11"/>
        <v>2.403977138671875E-9</v>
      </c>
      <c r="AJ29" s="34">
        <f t="shared" si="11"/>
        <v>2.5001362242187499E-9</v>
      </c>
      <c r="AK29" s="34">
        <f t="shared" si="11"/>
        <v>2.6001416731874998E-9</v>
      </c>
      <c r="AL29" s="34">
        <f t="shared" si="11"/>
        <v>2.7041473401149998E-9</v>
      </c>
      <c r="AM29" s="34">
        <f t="shared" si="11"/>
        <v>2.8123132337195999E-9</v>
      </c>
      <c r="AN29" s="34">
        <f t="shared" si="11"/>
        <v>2.924805763068384E-9</v>
      </c>
      <c r="AO29" s="34">
        <f t="shared" si="11"/>
        <v>3.0417979935911193E-9</v>
      </c>
      <c r="AP29" s="34">
        <f t="shared" si="11"/>
        <v>3.163469913334764E-9</v>
      </c>
      <c r="AQ29" s="34">
        <f t="shared" si="11"/>
        <v>3.2900087098681546E-9</v>
      </c>
      <c r="AR29" s="34">
        <f t="shared" si="11"/>
        <v>3.4216090582628803E-9</v>
      </c>
      <c r="AS29" s="34">
        <f t="shared" si="11"/>
        <v>3.5584734205933957E-9</v>
      </c>
    </row>
    <row r="30" spans="3:45" outlineLevel="1" x14ac:dyDescent="0.35">
      <c r="C30" s="36" t="s">
        <v>177</v>
      </c>
      <c r="D30" s="36"/>
      <c r="E30" s="36" t="s">
        <v>90</v>
      </c>
      <c r="F30" s="36"/>
      <c r="G30" s="36"/>
      <c r="H30" s="36"/>
      <c r="I30" s="36"/>
      <c r="J30" s="37">
        <f>J27+J28-J29</f>
        <v>41296036.673397548</v>
      </c>
      <c r="K30" s="37">
        <f t="shared" ref="K30:AS30" si="12">K27+K28-K29</f>
        <v>39856570.448025756</v>
      </c>
      <c r="L30" s="37">
        <f t="shared" si="12"/>
        <v>38391459.035177559</v>
      </c>
      <c r="M30" s="37">
        <f t="shared" si="12"/>
        <v>36785245.297991931</v>
      </c>
      <c r="N30" s="37">
        <f t="shared" si="12"/>
        <v>34700102.165941052</v>
      </c>
      <c r="O30" s="37">
        <f t="shared" si="12"/>
        <v>32570100.036397226</v>
      </c>
      <c r="P30" s="37">
        <f t="shared" si="12"/>
        <v>30393667.09508317</v>
      </c>
      <c r="Q30" s="37">
        <f t="shared" si="12"/>
        <v>28169175.848007627</v>
      </c>
      <c r="R30" s="37">
        <f t="shared" si="12"/>
        <v>25894941.024424229</v>
      </c>
      <c r="S30" s="37">
        <f t="shared" si="12"/>
        <v>23569217.398580201</v>
      </c>
      <c r="T30" s="37">
        <f t="shared" si="12"/>
        <v>21190197.527059611</v>
      </c>
      <c r="U30" s="37">
        <f t="shared" si="12"/>
        <v>18756009.39839907</v>
      </c>
      <c r="V30" s="37">
        <f t="shared" si="12"/>
        <v>16264713.991522044</v>
      </c>
      <c r="W30" s="37">
        <f t="shared" si="12"/>
        <v>13714302.739400852</v>
      </c>
      <c r="X30" s="37">
        <f t="shared" si="12"/>
        <v>11102694.894212909</v>
      </c>
      <c r="Y30" s="37">
        <f t="shared" si="12"/>
        <v>8427734.7901096363</v>
      </c>
      <c r="Z30" s="37">
        <f t="shared" si="12"/>
        <v>5687188.9995623287</v>
      </c>
      <c r="AA30" s="37">
        <f t="shared" si="12"/>
        <v>2878743.3790890398</v>
      </c>
      <c r="AB30" s="37">
        <f t="shared" si="12"/>
        <v>-4.7497451305389404E-8</v>
      </c>
      <c r="AC30" s="37">
        <f t="shared" si="12"/>
        <v>-4.939734935760498E-8</v>
      </c>
      <c r="AD30" s="37">
        <f t="shared" si="12"/>
        <v>-5.137324333190918E-8</v>
      </c>
      <c r="AE30" s="37">
        <f t="shared" si="12"/>
        <v>-5.3428173065185544E-8</v>
      </c>
      <c r="AF30" s="37">
        <f t="shared" si="12"/>
        <v>-5.5565299987792963E-8</v>
      </c>
      <c r="AG30" s="37">
        <f t="shared" si="12"/>
        <v>-5.7787911987304683E-8</v>
      </c>
      <c r="AH30" s="37">
        <f t="shared" si="12"/>
        <v>-6.0099428466796871E-8</v>
      </c>
      <c r="AI30" s="37">
        <f t="shared" si="12"/>
        <v>-6.2503405605468747E-8</v>
      </c>
      <c r="AJ30" s="37">
        <f t="shared" si="12"/>
        <v>-6.5003541829687493E-8</v>
      </c>
      <c r="AK30" s="37">
        <f t="shared" si="12"/>
        <v>-6.7603683502874993E-8</v>
      </c>
      <c r="AL30" s="37">
        <f t="shared" si="12"/>
        <v>-7.0307830842989995E-8</v>
      </c>
      <c r="AM30" s="37">
        <f t="shared" si="12"/>
        <v>-7.3120144076709595E-8</v>
      </c>
      <c r="AN30" s="37">
        <f t="shared" si="12"/>
        <v>-7.6044949839777982E-8</v>
      </c>
      <c r="AO30" s="37">
        <f t="shared" si="12"/>
        <v>-7.9086747833369096E-8</v>
      </c>
      <c r="AP30" s="37">
        <f t="shared" si="12"/>
        <v>-8.2250217746703858E-8</v>
      </c>
      <c r="AQ30" s="37">
        <f t="shared" si="12"/>
        <v>-8.554022645657201E-8</v>
      </c>
      <c r="AR30" s="37">
        <f t="shared" si="12"/>
        <v>-8.8961835514834894E-8</v>
      </c>
      <c r="AS30" s="37">
        <f t="shared" si="12"/>
        <v>-9.2520308935428289E-8</v>
      </c>
    </row>
    <row r="31" spans="3:45" outlineLevel="1" x14ac:dyDescent="0.35">
      <c r="C31" s="33" t="s">
        <v>225</v>
      </c>
      <c r="E31" s="33" t="s">
        <v>90</v>
      </c>
      <c r="F31" s="33" t="s">
        <v>60</v>
      </c>
      <c r="G31" s="25">
        <f>Inputs!$F$45</f>
        <v>0.04</v>
      </c>
      <c r="J31" s="34">
        <f>$G$31*J27</f>
        <v>0</v>
      </c>
      <c r="K31" s="34">
        <f t="shared" ref="K31:AS31" si="13">$G$31*K27</f>
        <v>1651841.4669359019</v>
      </c>
      <c r="L31" s="34">
        <f t="shared" si="13"/>
        <v>1594262.8179210303</v>
      </c>
      <c r="M31" s="34">
        <f t="shared" si="13"/>
        <v>1535658.3614071023</v>
      </c>
      <c r="N31" s="34">
        <f t="shared" si="13"/>
        <v>1471409.8119196773</v>
      </c>
      <c r="O31" s="34">
        <f t="shared" si="13"/>
        <v>1388004.086637642</v>
      </c>
      <c r="P31" s="34">
        <f t="shared" si="13"/>
        <v>1302804.0014558891</v>
      </c>
      <c r="Q31" s="34">
        <f t="shared" si="13"/>
        <v>1215746.6838033269</v>
      </c>
      <c r="R31" s="34">
        <f t="shared" si="13"/>
        <v>1126767.0339203051</v>
      </c>
      <c r="S31" s="34">
        <f t="shared" si="13"/>
        <v>1035797.6409769692</v>
      </c>
      <c r="T31" s="34">
        <f t="shared" si="13"/>
        <v>942768.69594320806</v>
      </c>
      <c r="U31" s="34">
        <f t="shared" si="13"/>
        <v>847607.9010823844</v>
      </c>
      <c r="V31" s="34">
        <f t="shared" si="13"/>
        <v>750240.37593596277</v>
      </c>
      <c r="W31" s="34">
        <f t="shared" si="13"/>
        <v>650588.55966088176</v>
      </c>
      <c r="X31" s="34">
        <f t="shared" si="13"/>
        <v>548572.10957603413</v>
      </c>
      <c r="Y31" s="34">
        <f t="shared" si="13"/>
        <v>444107.79576851637</v>
      </c>
      <c r="Z31" s="34">
        <f t="shared" si="13"/>
        <v>337109.39160438546</v>
      </c>
      <c r="AA31" s="34">
        <f t="shared" si="13"/>
        <v>227487.55998249314</v>
      </c>
      <c r="AB31" s="34">
        <f t="shared" si="13"/>
        <v>115149.73516356159</v>
      </c>
      <c r="AC31" s="34">
        <f t="shared" si="13"/>
        <v>-1.8998980522155762E-9</v>
      </c>
      <c r="AD31" s="34">
        <f t="shared" si="13"/>
        <v>-1.9758939743041992E-9</v>
      </c>
      <c r="AE31" s="34">
        <f t="shared" si="13"/>
        <v>-2.0549297332763672E-9</v>
      </c>
      <c r="AF31" s="34">
        <f t="shared" si="13"/>
        <v>-2.1371269226074217E-9</v>
      </c>
      <c r="AG31" s="34">
        <f t="shared" si="13"/>
        <v>-2.2226119995117184E-9</v>
      </c>
      <c r="AH31" s="34">
        <f t="shared" si="13"/>
        <v>-2.3115164794921875E-9</v>
      </c>
      <c r="AI31" s="34">
        <f t="shared" si="13"/>
        <v>-2.403977138671875E-9</v>
      </c>
      <c r="AJ31" s="34">
        <f t="shared" si="13"/>
        <v>-2.5001362242187499E-9</v>
      </c>
      <c r="AK31" s="34">
        <f t="shared" si="13"/>
        <v>-2.6001416731874998E-9</v>
      </c>
      <c r="AL31" s="34">
        <f t="shared" si="13"/>
        <v>-2.7041473401149998E-9</v>
      </c>
      <c r="AM31" s="34">
        <f t="shared" si="13"/>
        <v>-2.8123132337195999E-9</v>
      </c>
      <c r="AN31" s="34">
        <f t="shared" si="13"/>
        <v>-2.924805763068384E-9</v>
      </c>
      <c r="AO31" s="34">
        <f t="shared" si="13"/>
        <v>-3.0417979935911193E-9</v>
      </c>
      <c r="AP31" s="34">
        <f t="shared" si="13"/>
        <v>-3.163469913334764E-9</v>
      </c>
      <c r="AQ31" s="34">
        <f t="shared" si="13"/>
        <v>-3.2900087098681546E-9</v>
      </c>
      <c r="AR31" s="34">
        <f t="shared" si="13"/>
        <v>-3.4216090582628803E-9</v>
      </c>
      <c r="AS31" s="34">
        <f t="shared" si="13"/>
        <v>-3.5584734205933957E-9</v>
      </c>
    </row>
    <row r="32" spans="3:45" outlineLevel="1" x14ac:dyDescent="0.35"/>
    <row r="33" spans="2:1006" outlineLevel="1" x14ac:dyDescent="0.35">
      <c r="C33" s="33" t="s">
        <v>226</v>
      </c>
      <c r="E33" s="33" t="s">
        <v>73</v>
      </c>
      <c r="F33" s="42">
        <f>LOOKUP(G22,2:2,30:30)</f>
        <v>-4.7497451305389404E-8</v>
      </c>
    </row>
    <row r="34" spans="2:1006" outlineLevel="1" x14ac:dyDescent="0.35"/>
    <row r="35" spans="2:1006" x14ac:dyDescent="0.35">
      <c r="B35" s="28" t="s">
        <v>228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</row>
    <row r="36" spans="2:1006" outlineLevel="1" x14ac:dyDescent="0.35">
      <c r="C36" s="33" t="s">
        <v>213</v>
      </c>
      <c r="E36" s="33" t="s">
        <v>90</v>
      </c>
      <c r="J36" s="34">
        <f>J13</f>
        <v>0</v>
      </c>
      <c r="K36" s="34">
        <f t="shared" ref="K36:AS36" si="14">K13</f>
        <v>4018700</v>
      </c>
      <c r="L36" s="34">
        <f t="shared" si="14"/>
        <v>3977186.5</v>
      </c>
      <c r="M36" s="34">
        <f t="shared" si="14"/>
        <v>4084433.7281705458</v>
      </c>
      <c r="N36" s="34">
        <f t="shared" si="14"/>
        <v>4623518.8271617191</v>
      </c>
      <c r="O36" s="34">
        <f t="shared" si="14"/>
        <v>4573408.0810359102</v>
      </c>
      <c r="P36" s="34">
        <f t="shared" si="14"/>
        <v>4523008.0256009307</v>
      </c>
      <c r="Q36" s="34">
        <f t="shared" si="14"/>
        <v>4472309.3101425311</v>
      </c>
      <c r="R36" s="34">
        <f t="shared" si="14"/>
        <v>4421302.4147548135</v>
      </c>
      <c r="S36" s="34">
        <f t="shared" si="14"/>
        <v>4369977.6468672948</v>
      </c>
      <c r="T36" s="34">
        <f t="shared" si="14"/>
        <v>4318325.1377029391</v>
      </c>
      <c r="U36" s="34">
        <f t="shared" si="14"/>
        <v>4266334.8386658058</v>
      </c>
      <c r="V36" s="34">
        <f t="shared" si="14"/>
        <v>4213996.5176568842</v>
      </c>
      <c r="W36" s="34">
        <f t="shared" si="14"/>
        <v>4161299.7553166961</v>
      </c>
      <c r="X36" s="34">
        <f t="shared" si="14"/>
        <v>4108233.9411931718</v>
      </c>
      <c r="Y36" s="34">
        <f t="shared" si="14"/>
        <v>4054788.2698333259</v>
      </c>
      <c r="Z36" s="34">
        <f t="shared" si="14"/>
        <v>4000951.7367972005</v>
      </c>
      <c r="AA36" s="34">
        <f t="shared" si="14"/>
        <v>3946713.1345925168</v>
      </c>
      <c r="AB36" s="34">
        <f t="shared" si="14"/>
        <v>3892061.0485284436</v>
      </c>
      <c r="AC36" s="34">
        <f t="shared" si="14"/>
        <v>3836983.8524868689</v>
      </c>
      <c r="AD36" s="34">
        <f t="shared" si="14"/>
        <v>3781469.7046095226</v>
      </c>
      <c r="AE36" s="34">
        <f t="shared" si="14"/>
        <v>5221901.8917385321</v>
      </c>
      <c r="AF36" s="34">
        <f t="shared" si="14"/>
        <v>5157995.452828886</v>
      </c>
      <c r="AG36" s="34">
        <f t="shared" si="14"/>
        <v>5093652.6075247675</v>
      </c>
      <c r="AH36" s="34">
        <f t="shared" si="14"/>
        <v>5028860.4190863706</v>
      </c>
      <c r="AI36" s="34">
        <f t="shared" si="14"/>
        <v>4963605.7130821506</v>
      </c>
      <c r="AJ36" s="34">
        <f t="shared" si="14"/>
        <v>4897875.072529776</v>
      </c>
      <c r="AK36" s="34">
        <f t="shared" si="14"/>
        <v>4831654.8329404239</v>
      </c>
      <c r="AL36" s="34">
        <f t="shared" si="14"/>
        <v>4764931.0772644849</v>
      </c>
      <c r="AM36" s="34">
        <f t="shared" si="14"/>
        <v>4697689.6307366993</v>
      </c>
      <c r="AN36" s="34">
        <f t="shared" si="14"/>
        <v>4629916.0556187239</v>
      </c>
      <c r="AO36" s="34">
        <f t="shared" si="14"/>
        <v>4561595.6458370537</v>
      </c>
      <c r="AP36" s="34">
        <f t="shared" si="14"/>
        <v>4492713.4215142187</v>
      </c>
      <c r="AQ36" s="34">
        <f t="shared" si="14"/>
        <v>4423254.1233911254</v>
      </c>
      <c r="AR36" s="34">
        <f t="shared" si="14"/>
        <v>4353202.2071383372</v>
      </c>
      <c r="AS36" s="34">
        <f t="shared" si="14"/>
        <v>4282541.8375540972</v>
      </c>
    </row>
    <row r="37" spans="2:1006" outlineLevel="1" x14ac:dyDescent="0.35">
      <c r="C37" s="33" t="s">
        <v>150</v>
      </c>
      <c r="E37" s="33" t="s">
        <v>90</v>
      </c>
      <c r="J37" s="34">
        <f>J15</f>
        <v>60100000</v>
      </c>
      <c r="K37" s="34">
        <f t="shared" ref="K37:AS37" si="15">K15</f>
        <v>0</v>
      </c>
      <c r="L37" s="34">
        <f t="shared" si="15"/>
        <v>0</v>
      </c>
      <c r="M37" s="34">
        <f t="shared" si="15"/>
        <v>0</v>
      </c>
      <c r="N37" s="34">
        <f t="shared" si="15"/>
        <v>0</v>
      </c>
      <c r="O37" s="34">
        <f t="shared" si="15"/>
        <v>0</v>
      </c>
      <c r="P37" s="34">
        <f t="shared" si="15"/>
        <v>0</v>
      </c>
      <c r="Q37" s="34">
        <f t="shared" si="15"/>
        <v>0</v>
      </c>
      <c r="R37" s="34">
        <f t="shared" si="15"/>
        <v>0</v>
      </c>
      <c r="S37" s="34">
        <f t="shared" si="15"/>
        <v>0</v>
      </c>
      <c r="T37" s="34">
        <f t="shared" si="15"/>
        <v>0</v>
      </c>
      <c r="U37" s="34">
        <f t="shared" si="15"/>
        <v>0</v>
      </c>
      <c r="V37" s="34">
        <f t="shared" si="15"/>
        <v>0</v>
      </c>
      <c r="W37" s="34">
        <f t="shared" si="15"/>
        <v>0</v>
      </c>
      <c r="X37" s="34">
        <f t="shared" si="15"/>
        <v>0</v>
      </c>
      <c r="Y37" s="34">
        <f t="shared" si="15"/>
        <v>0</v>
      </c>
      <c r="Z37" s="34">
        <f t="shared" si="15"/>
        <v>0</v>
      </c>
      <c r="AA37" s="34">
        <f t="shared" si="15"/>
        <v>0</v>
      </c>
      <c r="AB37" s="34">
        <f t="shared" si="15"/>
        <v>0</v>
      </c>
      <c r="AC37" s="34">
        <f t="shared" si="15"/>
        <v>0</v>
      </c>
      <c r="AD37" s="34">
        <f t="shared" si="15"/>
        <v>0</v>
      </c>
      <c r="AE37" s="34">
        <f t="shared" si="15"/>
        <v>0</v>
      </c>
      <c r="AF37" s="34">
        <f t="shared" si="15"/>
        <v>0</v>
      </c>
      <c r="AG37" s="34">
        <f t="shared" si="15"/>
        <v>0</v>
      </c>
      <c r="AH37" s="34">
        <f t="shared" si="15"/>
        <v>0</v>
      </c>
      <c r="AI37" s="34">
        <f t="shared" si="15"/>
        <v>0</v>
      </c>
      <c r="AJ37" s="34">
        <f t="shared" si="15"/>
        <v>0</v>
      </c>
      <c r="AK37" s="34">
        <f t="shared" si="15"/>
        <v>0</v>
      </c>
      <c r="AL37" s="34">
        <f t="shared" si="15"/>
        <v>0</v>
      </c>
      <c r="AM37" s="34">
        <f t="shared" si="15"/>
        <v>0</v>
      </c>
      <c r="AN37" s="34">
        <f t="shared" si="15"/>
        <v>0</v>
      </c>
      <c r="AO37" s="34">
        <f t="shared" si="15"/>
        <v>0</v>
      </c>
      <c r="AP37" s="34">
        <f t="shared" si="15"/>
        <v>0</v>
      </c>
      <c r="AQ37" s="34">
        <f t="shared" si="15"/>
        <v>0</v>
      </c>
      <c r="AR37" s="34">
        <f t="shared" si="15"/>
        <v>0</v>
      </c>
      <c r="AS37" s="34">
        <f t="shared" si="15"/>
        <v>0</v>
      </c>
    </row>
    <row r="38" spans="2:1006" outlineLevel="1" x14ac:dyDescent="0.35">
      <c r="C38" s="33" t="s">
        <v>229</v>
      </c>
      <c r="E38" s="33" t="s">
        <v>90</v>
      </c>
      <c r="J38" s="34">
        <f>J28</f>
        <v>41296036.673397548</v>
      </c>
      <c r="K38" s="34">
        <f t="shared" ref="K38:AS38" si="16">K28</f>
        <v>0</v>
      </c>
      <c r="L38" s="34">
        <f t="shared" si="16"/>
        <v>0</v>
      </c>
      <c r="M38" s="34">
        <f t="shared" si="16"/>
        <v>0</v>
      </c>
      <c r="N38" s="34">
        <f t="shared" si="16"/>
        <v>0</v>
      </c>
      <c r="O38" s="34">
        <f t="shared" si="16"/>
        <v>0</v>
      </c>
      <c r="P38" s="34">
        <f t="shared" si="16"/>
        <v>0</v>
      </c>
      <c r="Q38" s="34">
        <f t="shared" si="16"/>
        <v>0</v>
      </c>
      <c r="R38" s="34">
        <f t="shared" si="16"/>
        <v>0</v>
      </c>
      <c r="S38" s="34">
        <f t="shared" si="16"/>
        <v>0</v>
      </c>
      <c r="T38" s="34">
        <f t="shared" si="16"/>
        <v>0</v>
      </c>
      <c r="U38" s="34">
        <f t="shared" si="16"/>
        <v>0</v>
      </c>
      <c r="V38" s="34">
        <f t="shared" si="16"/>
        <v>0</v>
      </c>
      <c r="W38" s="34">
        <f t="shared" si="16"/>
        <v>0</v>
      </c>
      <c r="X38" s="34">
        <f t="shared" si="16"/>
        <v>0</v>
      </c>
      <c r="Y38" s="34">
        <f t="shared" si="16"/>
        <v>0</v>
      </c>
      <c r="Z38" s="34">
        <f t="shared" si="16"/>
        <v>0</v>
      </c>
      <c r="AA38" s="34">
        <f t="shared" si="16"/>
        <v>0</v>
      </c>
      <c r="AB38" s="34">
        <f t="shared" si="16"/>
        <v>0</v>
      </c>
      <c r="AC38" s="34">
        <f t="shared" si="16"/>
        <v>0</v>
      </c>
      <c r="AD38" s="34">
        <f t="shared" si="16"/>
        <v>0</v>
      </c>
      <c r="AE38" s="34">
        <f t="shared" si="16"/>
        <v>0</v>
      </c>
      <c r="AF38" s="34">
        <f t="shared" si="16"/>
        <v>0</v>
      </c>
      <c r="AG38" s="34">
        <f t="shared" si="16"/>
        <v>0</v>
      </c>
      <c r="AH38" s="34">
        <f t="shared" si="16"/>
        <v>0</v>
      </c>
      <c r="AI38" s="34">
        <f t="shared" si="16"/>
        <v>0</v>
      </c>
      <c r="AJ38" s="34">
        <f t="shared" si="16"/>
        <v>0</v>
      </c>
      <c r="AK38" s="34">
        <f t="shared" si="16"/>
        <v>0</v>
      </c>
      <c r="AL38" s="34">
        <f t="shared" si="16"/>
        <v>0</v>
      </c>
      <c r="AM38" s="34">
        <f t="shared" si="16"/>
        <v>0</v>
      </c>
      <c r="AN38" s="34">
        <f t="shared" si="16"/>
        <v>0</v>
      </c>
      <c r="AO38" s="34">
        <f t="shared" si="16"/>
        <v>0</v>
      </c>
      <c r="AP38" s="34">
        <f t="shared" si="16"/>
        <v>0</v>
      </c>
      <c r="AQ38" s="34">
        <f t="shared" si="16"/>
        <v>0</v>
      </c>
      <c r="AR38" s="34">
        <f t="shared" si="16"/>
        <v>0</v>
      </c>
      <c r="AS38" s="34">
        <f t="shared" si="16"/>
        <v>0</v>
      </c>
    </row>
    <row r="39" spans="2:1006" outlineLevel="1" x14ac:dyDescent="0.35">
      <c r="C39" s="33" t="s">
        <v>230</v>
      </c>
      <c r="E39" s="33" t="s">
        <v>90</v>
      </c>
      <c r="J39" s="34">
        <f>J23*1</f>
        <v>0</v>
      </c>
      <c r="K39" s="34">
        <f t="shared" ref="K39:AS39" si="17">K23*1</f>
        <v>3091307.692307692</v>
      </c>
      <c r="L39" s="34">
        <f t="shared" si="17"/>
        <v>3059374.2307692305</v>
      </c>
      <c r="M39" s="34">
        <f t="shared" si="17"/>
        <v>3141872.0985927274</v>
      </c>
      <c r="N39" s="34">
        <f t="shared" si="17"/>
        <v>3556552.9439705531</v>
      </c>
      <c r="O39" s="34">
        <f t="shared" si="17"/>
        <v>3518006.2161814691</v>
      </c>
      <c r="P39" s="34">
        <f t="shared" si="17"/>
        <v>3479236.9427699465</v>
      </c>
      <c r="Q39" s="34">
        <f t="shared" si="17"/>
        <v>3440237.9308788697</v>
      </c>
      <c r="R39" s="34">
        <f t="shared" si="17"/>
        <v>3401001.8575037024</v>
      </c>
      <c r="S39" s="34">
        <f t="shared" si="17"/>
        <v>3361521.2668209961</v>
      </c>
      <c r="T39" s="34">
        <f t="shared" si="17"/>
        <v>3321788.5674637994</v>
      </c>
      <c r="U39" s="34">
        <f t="shared" si="17"/>
        <v>3281796.0297429273</v>
      </c>
      <c r="V39" s="34">
        <f t="shared" si="17"/>
        <v>3241535.7828129879</v>
      </c>
      <c r="W39" s="34">
        <f t="shared" si="17"/>
        <v>3200999.8117820737</v>
      </c>
      <c r="X39" s="34">
        <f t="shared" si="17"/>
        <v>3160179.9547639783</v>
      </c>
      <c r="Y39" s="34">
        <f t="shared" si="17"/>
        <v>3119067.8998717889</v>
      </c>
      <c r="Z39" s="34">
        <f t="shared" si="17"/>
        <v>3077655.1821516925</v>
      </c>
      <c r="AA39" s="34">
        <f t="shared" si="17"/>
        <v>3035933.180455782</v>
      </c>
      <c r="AB39" s="34">
        <f t="shared" si="17"/>
        <v>2993893.1142526488</v>
      </c>
      <c r="AC39" s="34">
        <f t="shared" si="17"/>
        <v>0</v>
      </c>
      <c r="AD39" s="34">
        <f t="shared" si="17"/>
        <v>0</v>
      </c>
      <c r="AE39" s="34">
        <f t="shared" si="17"/>
        <v>0</v>
      </c>
      <c r="AF39" s="34">
        <f t="shared" si="17"/>
        <v>0</v>
      </c>
      <c r="AG39" s="34">
        <f t="shared" si="17"/>
        <v>0</v>
      </c>
      <c r="AH39" s="34">
        <f t="shared" si="17"/>
        <v>0</v>
      </c>
      <c r="AI39" s="34">
        <f t="shared" si="17"/>
        <v>0</v>
      </c>
      <c r="AJ39" s="34">
        <f t="shared" si="17"/>
        <v>0</v>
      </c>
      <c r="AK39" s="34">
        <f t="shared" si="17"/>
        <v>0</v>
      </c>
      <c r="AL39" s="34">
        <f t="shared" si="17"/>
        <v>0</v>
      </c>
      <c r="AM39" s="34">
        <f t="shared" si="17"/>
        <v>0</v>
      </c>
      <c r="AN39" s="34">
        <f t="shared" si="17"/>
        <v>0</v>
      </c>
      <c r="AO39" s="34">
        <f t="shared" si="17"/>
        <v>0</v>
      </c>
      <c r="AP39" s="34">
        <f t="shared" si="17"/>
        <v>0</v>
      </c>
      <c r="AQ39" s="34">
        <f t="shared" si="17"/>
        <v>0</v>
      </c>
      <c r="AR39" s="34">
        <f t="shared" si="17"/>
        <v>0</v>
      </c>
      <c r="AS39" s="34">
        <f t="shared" si="17"/>
        <v>0</v>
      </c>
    </row>
    <row r="40" spans="2:1006" outlineLevel="1" x14ac:dyDescent="0.35">
      <c r="C40" s="33" t="s">
        <v>231</v>
      </c>
      <c r="E40" s="33" t="s">
        <v>90</v>
      </c>
      <c r="J40" s="34">
        <f>J36-J37+J38-J39</f>
        <v>-18803963.326602452</v>
      </c>
      <c r="K40" s="34">
        <f t="shared" ref="K40:AS40" si="18">K36-K37+K38-K39</f>
        <v>927392.30769230798</v>
      </c>
      <c r="L40" s="34">
        <f t="shared" si="18"/>
        <v>917812.26923076948</v>
      </c>
      <c r="M40" s="34">
        <f t="shared" si="18"/>
        <v>942561.62957781833</v>
      </c>
      <c r="N40" s="34">
        <f t="shared" si="18"/>
        <v>1066965.883191166</v>
      </c>
      <c r="O40" s="34">
        <f t="shared" si="18"/>
        <v>1055401.864854441</v>
      </c>
      <c r="P40" s="34">
        <f t="shared" si="18"/>
        <v>1043771.0828309841</v>
      </c>
      <c r="Q40" s="34">
        <f t="shared" si="18"/>
        <v>1032071.3792636613</v>
      </c>
      <c r="R40" s="34">
        <f t="shared" si="18"/>
        <v>1020300.5572511111</v>
      </c>
      <c r="S40" s="34">
        <f t="shared" si="18"/>
        <v>1008456.3800462987</v>
      </c>
      <c r="T40" s="34">
        <f t="shared" si="18"/>
        <v>996536.57023913972</v>
      </c>
      <c r="U40" s="34">
        <f t="shared" si="18"/>
        <v>984538.80892287847</v>
      </c>
      <c r="V40" s="34">
        <f t="shared" si="18"/>
        <v>972460.73484389624</v>
      </c>
      <c r="W40" s="34">
        <f t="shared" si="18"/>
        <v>960299.94353462243</v>
      </c>
      <c r="X40" s="34">
        <f t="shared" si="18"/>
        <v>948053.98642919352</v>
      </c>
      <c r="Y40" s="34">
        <f t="shared" si="18"/>
        <v>935720.36996153696</v>
      </c>
      <c r="Z40" s="34">
        <f t="shared" si="18"/>
        <v>923296.55464550806</v>
      </c>
      <c r="AA40" s="34">
        <f t="shared" si="18"/>
        <v>910779.95413673483</v>
      </c>
      <c r="AB40" s="34">
        <f t="shared" si="18"/>
        <v>898167.93427579477</v>
      </c>
      <c r="AC40" s="34">
        <f t="shared" si="18"/>
        <v>3836983.8524868689</v>
      </c>
      <c r="AD40" s="34">
        <f t="shared" si="18"/>
        <v>3781469.7046095226</v>
      </c>
      <c r="AE40" s="34">
        <f t="shared" si="18"/>
        <v>5221901.8917385321</v>
      </c>
      <c r="AF40" s="34">
        <f t="shared" si="18"/>
        <v>5157995.452828886</v>
      </c>
      <c r="AG40" s="34">
        <f t="shared" si="18"/>
        <v>5093652.6075247675</v>
      </c>
      <c r="AH40" s="34">
        <f t="shared" si="18"/>
        <v>5028860.4190863706</v>
      </c>
      <c r="AI40" s="34">
        <f t="shared" si="18"/>
        <v>4963605.7130821506</v>
      </c>
      <c r="AJ40" s="34">
        <f t="shared" si="18"/>
        <v>4897875.072529776</v>
      </c>
      <c r="AK40" s="34">
        <f t="shared" si="18"/>
        <v>4831654.8329404239</v>
      </c>
      <c r="AL40" s="34">
        <f t="shared" si="18"/>
        <v>4764931.0772644849</v>
      </c>
      <c r="AM40" s="34">
        <f t="shared" si="18"/>
        <v>4697689.6307366993</v>
      </c>
      <c r="AN40" s="34">
        <f t="shared" si="18"/>
        <v>4629916.0556187239</v>
      </c>
      <c r="AO40" s="34">
        <f t="shared" si="18"/>
        <v>4561595.6458370537</v>
      </c>
      <c r="AP40" s="34">
        <f t="shared" si="18"/>
        <v>4492713.4215142187</v>
      </c>
      <c r="AQ40" s="34">
        <f t="shared" si="18"/>
        <v>4423254.1233911254</v>
      </c>
      <c r="AR40" s="34">
        <f t="shared" si="18"/>
        <v>4353202.2071383372</v>
      </c>
      <c r="AS40" s="34">
        <f t="shared" si="18"/>
        <v>4282541.8375540972</v>
      </c>
    </row>
    <row r="41" spans="2:1006" outlineLevel="1" x14ac:dyDescent="0.35"/>
    <row r="42" spans="2:1006" outlineLevel="1" x14ac:dyDescent="0.35">
      <c r="C42" s="33" t="s">
        <v>232</v>
      </c>
      <c r="E42" s="38">
        <f>IRR(J40:AS40)</f>
        <v>8.3342276263518311E-2</v>
      </c>
    </row>
    <row r="43" spans="2:1006" outlineLevel="1" x14ac:dyDescent="0.35"/>
    <row r="44" spans="2:1006" x14ac:dyDescent="0.35">
      <c r="B44" s="28" t="s">
        <v>233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</row>
    <row r="45" spans="2:1006" outlineLevel="1" x14ac:dyDescent="0.35">
      <c r="C45" s="33" t="s">
        <v>235</v>
      </c>
      <c r="E45" s="33" t="s">
        <v>90</v>
      </c>
      <c r="J45" s="34">
        <f>J40</f>
        <v>-18803963.326602452</v>
      </c>
      <c r="K45" s="34">
        <f t="shared" ref="K45:AS45" si="19">K40</f>
        <v>927392.30769230798</v>
      </c>
      <c r="L45" s="34">
        <f t="shared" si="19"/>
        <v>917812.26923076948</v>
      </c>
      <c r="M45" s="34">
        <f t="shared" si="19"/>
        <v>942561.62957781833</v>
      </c>
      <c r="N45" s="34">
        <f t="shared" si="19"/>
        <v>1066965.883191166</v>
      </c>
      <c r="O45" s="34">
        <f t="shared" si="19"/>
        <v>1055401.864854441</v>
      </c>
      <c r="P45" s="34">
        <f t="shared" si="19"/>
        <v>1043771.0828309841</v>
      </c>
      <c r="Q45" s="34">
        <f t="shared" si="19"/>
        <v>1032071.3792636613</v>
      </c>
      <c r="R45" s="34">
        <f t="shared" si="19"/>
        <v>1020300.5572511111</v>
      </c>
      <c r="S45" s="34">
        <f t="shared" si="19"/>
        <v>1008456.3800462987</v>
      </c>
      <c r="T45" s="34">
        <f t="shared" si="19"/>
        <v>996536.57023913972</v>
      </c>
      <c r="U45" s="34">
        <f t="shared" si="19"/>
        <v>984538.80892287847</v>
      </c>
      <c r="V45" s="34">
        <f t="shared" si="19"/>
        <v>972460.73484389624</v>
      </c>
      <c r="W45" s="34">
        <f t="shared" si="19"/>
        <v>960299.94353462243</v>
      </c>
      <c r="X45" s="34">
        <f t="shared" si="19"/>
        <v>948053.98642919352</v>
      </c>
      <c r="Y45" s="34">
        <f t="shared" si="19"/>
        <v>935720.36996153696</v>
      </c>
      <c r="Z45" s="34">
        <f t="shared" si="19"/>
        <v>923296.55464550806</v>
      </c>
      <c r="AA45" s="34">
        <f t="shared" si="19"/>
        <v>910779.95413673483</v>
      </c>
      <c r="AB45" s="34">
        <f t="shared" si="19"/>
        <v>898167.93427579477</v>
      </c>
      <c r="AC45" s="34">
        <f t="shared" si="19"/>
        <v>3836983.8524868689</v>
      </c>
      <c r="AD45" s="34">
        <f t="shared" si="19"/>
        <v>3781469.7046095226</v>
      </c>
      <c r="AE45" s="34">
        <f t="shared" si="19"/>
        <v>5221901.8917385321</v>
      </c>
      <c r="AF45" s="34">
        <f t="shared" si="19"/>
        <v>5157995.452828886</v>
      </c>
      <c r="AG45" s="34">
        <f t="shared" si="19"/>
        <v>5093652.6075247675</v>
      </c>
      <c r="AH45" s="34">
        <f t="shared" si="19"/>
        <v>5028860.4190863706</v>
      </c>
      <c r="AI45" s="34">
        <f t="shared" si="19"/>
        <v>4963605.7130821506</v>
      </c>
      <c r="AJ45" s="34">
        <f t="shared" si="19"/>
        <v>4897875.072529776</v>
      </c>
      <c r="AK45" s="34">
        <f t="shared" si="19"/>
        <v>4831654.8329404239</v>
      </c>
      <c r="AL45" s="34">
        <f t="shared" si="19"/>
        <v>4764931.0772644849</v>
      </c>
      <c r="AM45" s="34">
        <f t="shared" si="19"/>
        <v>4697689.6307366993</v>
      </c>
      <c r="AN45" s="34">
        <f t="shared" si="19"/>
        <v>4629916.0556187239</v>
      </c>
      <c r="AO45" s="34">
        <f t="shared" si="19"/>
        <v>4561595.6458370537</v>
      </c>
      <c r="AP45" s="34">
        <f t="shared" si="19"/>
        <v>4492713.4215142187</v>
      </c>
      <c r="AQ45" s="34">
        <f t="shared" si="19"/>
        <v>4423254.1233911254</v>
      </c>
      <c r="AR45" s="34">
        <f t="shared" si="19"/>
        <v>4353202.2071383372</v>
      </c>
      <c r="AS45" s="34">
        <f t="shared" si="19"/>
        <v>4282541.8375540972</v>
      </c>
    </row>
    <row r="46" spans="2:1006" outlineLevel="1" x14ac:dyDescent="0.35">
      <c r="C46" s="33" t="s">
        <v>236</v>
      </c>
      <c r="E46" s="33" t="s">
        <v>90</v>
      </c>
      <c r="J46" s="34">
        <f>J20</f>
        <v>285000</v>
      </c>
      <c r="K46" s="34">
        <f t="shared" ref="K46:AS46" si="20">K20</f>
        <v>57980.912500000042</v>
      </c>
      <c r="L46" s="34">
        <f t="shared" si="20"/>
        <v>30957.885437500023</v>
      </c>
      <c r="M46" s="34">
        <f t="shared" si="20"/>
        <v>307391.46949685237</v>
      </c>
      <c r="N46" s="34">
        <f t="shared" si="20"/>
        <v>870575.30614008277</v>
      </c>
      <c r="O46" s="34">
        <f t="shared" si="20"/>
        <v>881541.64731856238</v>
      </c>
      <c r="P46" s="34">
        <f t="shared" si="20"/>
        <v>-920524.59844466695</v>
      </c>
      <c r="Q46" s="34">
        <f t="shared" si="20"/>
        <v>-909429.58481961279</v>
      </c>
      <c r="R46" s="34">
        <f t="shared" si="20"/>
        <v>-898267.12845002708</v>
      </c>
      <c r="S46" s="34">
        <f t="shared" si="20"/>
        <v>-887035.10819337959</v>
      </c>
      <c r="T46" s="34">
        <f t="shared" si="20"/>
        <v>-875731.36434572749</v>
      </c>
      <c r="U46" s="34">
        <f t="shared" si="20"/>
        <v>-864353.69785117987</v>
      </c>
      <c r="V46" s="34">
        <f t="shared" si="20"/>
        <v>-852899.86949564866</v>
      </c>
      <c r="W46" s="34">
        <f t="shared" si="20"/>
        <v>-841367.59908456949</v>
      </c>
      <c r="X46" s="34">
        <f t="shared" si="20"/>
        <v>-829754.56460427411</v>
      </c>
      <c r="Y46" s="34">
        <f t="shared" si="20"/>
        <v>-818058.40136668261</v>
      </c>
      <c r="Z46" s="34">
        <f t="shared" si="20"/>
        <v>-875576.70113698742</v>
      </c>
      <c r="AA46" s="34">
        <f t="shared" si="20"/>
        <v>-863707.0112439834</v>
      </c>
      <c r="AB46" s="34">
        <f t="shared" si="20"/>
        <v>-851746.83367269835</v>
      </c>
      <c r="AC46" s="34">
        <f t="shared" si="20"/>
        <v>-839693.62413896841</v>
      </c>
      <c r="AD46" s="34">
        <f t="shared" si="20"/>
        <v>-827544.79114559968</v>
      </c>
      <c r="AE46" s="34">
        <f t="shared" si="20"/>
        <v>-1142772.0034657272</v>
      </c>
      <c r="AF46" s="34">
        <f t="shared" si="20"/>
        <v>-1128786.5838348686</v>
      </c>
      <c r="AG46" s="34">
        <f t="shared" si="20"/>
        <v>-1114705.6601098939</v>
      </c>
      <c r="AH46" s="34">
        <f t="shared" si="20"/>
        <v>-1100526.4011874278</v>
      </c>
      <c r="AI46" s="34">
        <f t="shared" si="20"/>
        <v>-1086245.9239471359</v>
      </c>
      <c r="AJ46" s="34">
        <f t="shared" si="20"/>
        <v>-1071861.2921883583</v>
      </c>
      <c r="AK46" s="34">
        <f t="shared" si="20"/>
        <v>-1057369.5155455938</v>
      </c>
      <c r="AL46" s="34">
        <f t="shared" si="20"/>
        <v>-1042767.5483824066</v>
      </c>
      <c r="AM46" s="34">
        <f t="shared" si="20"/>
        <v>-1028052.2886633261</v>
      </c>
      <c r="AN46" s="34">
        <f t="shared" si="20"/>
        <v>-1013220.5768032976</v>
      </c>
      <c r="AO46" s="34">
        <f t="shared" si="20"/>
        <v>-998269.19449423533</v>
      </c>
      <c r="AP46" s="34">
        <f t="shared" si="20"/>
        <v>-983194.86350821692</v>
      </c>
      <c r="AQ46" s="34">
        <f t="shared" si="20"/>
        <v>-967994.24447685783</v>
      </c>
      <c r="AR46" s="34">
        <f t="shared" si="20"/>
        <v>-952663.93564637937</v>
      </c>
      <c r="AS46" s="34">
        <f t="shared" si="20"/>
        <v>-937200.47160789149</v>
      </c>
    </row>
    <row r="47" spans="2:1006" outlineLevel="1" x14ac:dyDescent="0.35">
      <c r="C47" s="33" t="s">
        <v>237</v>
      </c>
      <c r="E47" s="33" t="s">
        <v>90</v>
      </c>
      <c r="J47" s="34">
        <f>J45+J46</f>
        <v>-18518963.326602452</v>
      </c>
      <c r="K47" s="34">
        <f t="shared" ref="K47:AS47" si="21">K45+K46</f>
        <v>985373.22019230807</v>
      </c>
      <c r="L47" s="34">
        <f t="shared" si="21"/>
        <v>948770.15466826945</v>
      </c>
      <c r="M47" s="34">
        <f t="shared" si="21"/>
        <v>1249953.0990746706</v>
      </c>
      <c r="N47" s="34">
        <f t="shared" si="21"/>
        <v>1937541.1893312489</v>
      </c>
      <c r="O47" s="34">
        <f t="shared" si="21"/>
        <v>1936943.5121730035</v>
      </c>
      <c r="P47" s="34">
        <f t="shared" si="21"/>
        <v>123246.4843863172</v>
      </c>
      <c r="Q47" s="34">
        <f t="shared" si="21"/>
        <v>122641.79444404854</v>
      </c>
      <c r="R47" s="34">
        <f t="shared" si="21"/>
        <v>122033.42880108405</v>
      </c>
      <c r="S47" s="34">
        <f t="shared" si="21"/>
        <v>121421.27185291913</v>
      </c>
      <c r="T47" s="34">
        <f t="shared" si="21"/>
        <v>120805.20589341223</v>
      </c>
      <c r="U47" s="34">
        <f t="shared" si="21"/>
        <v>120185.1110716986</v>
      </c>
      <c r="V47" s="34">
        <f t="shared" si="21"/>
        <v>119560.86534824758</v>
      </c>
      <c r="W47" s="34">
        <f t="shared" si="21"/>
        <v>118932.34445005294</v>
      </c>
      <c r="X47" s="34">
        <f t="shared" si="21"/>
        <v>118299.42182491941</v>
      </c>
      <c r="Y47" s="34">
        <f t="shared" si="21"/>
        <v>117661.96859485435</v>
      </c>
      <c r="Z47" s="34">
        <f t="shared" si="21"/>
        <v>47719.853508520639</v>
      </c>
      <c r="AA47" s="34">
        <f t="shared" si="21"/>
        <v>47072.942892751424</v>
      </c>
      <c r="AB47" s="34">
        <f t="shared" si="21"/>
        <v>46421.10060309642</v>
      </c>
      <c r="AC47" s="34">
        <f t="shared" si="21"/>
        <v>2997290.2283479003</v>
      </c>
      <c r="AD47" s="34">
        <f t="shared" si="21"/>
        <v>2953924.9134639231</v>
      </c>
      <c r="AE47" s="34">
        <f t="shared" si="21"/>
        <v>4079129.8882728051</v>
      </c>
      <c r="AF47" s="34">
        <f t="shared" si="21"/>
        <v>4029208.8689940171</v>
      </c>
      <c r="AG47" s="34">
        <f t="shared" si="21"/>
        <v>3978946.9474148736</v>
      </c>
      <c r="AH47" s="34">
        <f t="shared" si="21"/>
        <v>3928334.0178989428</v>
      </c>
      <c r="AI47" s="34">
        <f t="shared" si="21"/>
        <v>3877359.7891350146</v>
      </c>
      <c r="AJ47" s="34">
        <f t="shared" si="21"/>
        <v>3826013.7803414175</v>
      </c>
      <c r="AK47" s="34">
        <f t="shared" si="21"/>
        <v>3774285.3173948303</v>
      </c>
      <c r="AL47" s="34">
        <f t="shared" si="21"/>
        <v>3722163.5288820784</v>
      </c>
      <c r="AM47" s="34">
        <f t="shared" si="21"/>
        <v>3669637.3420733735</v>
      </c>
      <c r="AN47" s="34">
        <f t="shared" si="21"/>
        <v>3616695.4788154261</v>
      </c>
      <c r="AO47" s="34">
        <f t="shared" si="21"/>
        <v>3563326.4513428183</v>
      </c>
      <c r="AP47" s="34">
        <f t="shared" si="21"/>
        <v>3509518.5580060016</v>
      </c>
      <c r="AQ47" s="34">
        <f t="shared" si="21"/>
        <v>3455259.8789142678</v>
      </c>
      <c r="AR47" s="34">
        <f t="shared" si="21"/>
        <v>3400538.2714919578</v>
      </c>
      <c r="AS47" s="34">
        <f t="shared" si="21"/>
        <v>3345341.3659462058</v>
      </c>
    </row>
    <row r="48" spans="2:1006" outlineLevel="1" x14ac:dyDescent="0.35">
      <c r="C48" s="33" t="s">
        <v>238</v>
      </c>
      <c r="E48" s="33" t="s">
        <v>90</v>
      </c>
      <c r="G48" s="27">
        <f>Inputs!F30</f>
        <v>0.21</v>
      </c>
      <c r="J48" s="34">
        <f>$G$48*J31</f>
        <v>0</v>
      </c>
      <c r="K48" s="34">
        <f t="shared" ref="K48:AS48" si="22">$G$48*K31</f>
        <v>346886.70805653941</v>
      </c>
      <c r="L48" s="34">
        <f t="shared" si="22"/>
        <v>334795.19176341634</v>
      </c>
      <c r="M48" s="34">
        <f t="shared" si="22"/>
        <v>322488.25589549146</v>
      </c>
      <c r="N48" s="34">
        <f t="shared" si="22"/>
        <v>308996.06050313223</v>
      </c>
      <c r="O48" s="34">
        <f t="shared" si="22"/>
        <v>291480.8581939048</v>
      </c>
      <c r="P48" s="34">
        <f t="shared" si="22"/>
        <v>273588.8403057367</v>
      </c>
      <c r="Q48" s="34">
        <f t="shared" si="22"/>
        <v>255306.80359869864</v>
      </c>
      <c r="R48" s="34">
        <f t="shared" si="22"/>
        <v>236621.07712326405</v>
      </c>
      <c r="S48" s="34">
        <f t="shared" si="22"/>
        <v>217517.5046051635</v>
      </c>
      <c r="T48" s="34">
        <f t="shared" si="22"/>
        <v>197981.42614807369</v>
      </c>
      <c r="U48" s="34">
        <f t="shared" si="22"/>
        <v>177997.65922730073</v>
      </c>
      <c r="V48" s="34">
        <f t="shared" si="22"/>
        <v>157550.47894655218</v>
      </c>
      <c r="W48" s="34">
        <f t="shared" si="22"/>
        <v>136623.59752878518</v>
      </c>
      <c r="X48" s="34">
        <f t="shared" si="22"/>
        <v>115200.14301096716</v>
      </c>
      <c r="Y48" s="34">
        <f t="shared" si="22"/>
        <v>93262.637111388438</v>
      </c>
      <c r="Z48" s="34">
        <f t="shared" si="22"/>
        <v>70792.972236920948</v>
      </c>
      <c r="AA48" s="34">
        <f t="shared" si="22"/>
        <v>47772.387596323555</v>
      </c>
      <c r="AB48" s="34">
        <f t="shared" si="22"/>
        <v>24181.444384347935</v>
      </c>
      <c r="AC48" s="34">
        <f t="shared" si="22"/>
        <v>-3.98978590965271E-10</v>
      </c>
      <c r="AD48" s="34">
        <f t="shared" si="22"/>
        <v>-4.1493773460388182E-10</v>
      </c>
      <c r="AE48" s="34">
        <f t="shared" si="22"/>
        <v>-4.3153524398803707E-10</v>
      </c>
      <c r="AF48" s="34">
        <f t="shared" si="22"/>
        <v>-4.4879665374755852E-10</v>
      </c>
      <c r="AG48" s="34">
        <f t="shared" si="22"/>
        <v>-4.6674851989746082E-10</v>
      </c>
      <c r="AH48" s="34">
        <f t="shared" si="22"/>
        <v>-4.8541846069335936E-10</v>
      </c>
      <c r="AI48" s="34">
        <f t="shared" si="22"/>
        <v>-5.0483519912109372E-10</v>
      </c>
      <c r="AJ48" s="34">
        <f t="shared" si="22"/>
        <v>-5.2502860708593742E-10</v>
      </c>
      <c r="AK48" s="34">
        <f t="shared" si="22"/>
        <v>-5.4602975136937491E-10</v>
      </c>
      <c r="AL48" s="34">
        <f t="shared" si="22"/>
        <v>-5.6787094142414991E-10</v>
      </c>
      <c r="AM48" s="34">
        <f t="shared" si="22"/>
        <v>-5.9058577908111592E-10</v>
      </c>
      <c r="AN48" s="34">
        <f t="shared" si="22"/>
        <v>-6.1420921024436062E-10</v>
      </c>
      <c r="AO48" s="34">
        <f t="shared" si="22"/>
        <v>-6.3877757865413508E-10</v>
      </c>
      <c r="AP48" s="34">
        <f t="shared" si="22"/>
        <v>-6.6432868180030042E-10</v>
      </c>
      <c r="AQ48" s="34">
        <f t="shared" si="22"/>
        <v>-6.9090182907231244E-10</v>
      </c>
      <c r="AR48" s="34">
        <f t="shared" si="22"/>
        <v>-7.185379022352048E-10</v>
      </c>
      <c r="AS48" s="34">
        <f t="shared" si="22"/>
        <v>-7.4727941832461311E-10</v>
      </c>
    </row>
    <row r="49" spans="2:1006" outlineLevel="1" x14ac:dyDescent="0.35">
      <c r="C49" s="33" t="s">
        <v>239</v>
      </c>
      <c r="E49" s="33" t="s">
        <v>90</v>
      </c>
      <c r="J49" s="34">
        <f>J47+J48</f>
        <v>-18518963.326602452</v>
      </c>
      <c r="K49" s="34">
        <f t="shared" ref="K49:AS49" si="23">K47+K48</f>
        <v>1332259.9282488474</v>
      </c>
      <c r="L49" s="34">
        <f t="shared" si="23"/>
        <v>1283565.3464316858</v>
      </c>
      <c r="M49" s="34">
        <f t="shared" si="23"/>
        <v>1572441.354970162</v>
      </c>
      <c r="N49" s="34">
        <f t="shared" si="23"/>
        <v>2246537.249834381</v>
      </c>
      <c r="O49" s="34">
        <f t="shared" si="23"/>
        <v>2228424.3703669081</v>
      </c>
      <c r="P49" s="34">
        <f t="shared" si="23"/>
        <v>396835.32469205389</v>
      </c>
      <c r="Q49" s="34">
        <f t="shared" si="23"/>
        <v>377948.59804274718</v>
      </c>
      <c r="R49" s="34">
        <f t="shared" si="23"/>
        <v>358654.50592434814</v>
      </c>
      <c r="S49" s="34">
        <f t="shared" si="23"/>
        <v>338938.7764580826</v>
      </c>
      <c r="T49" s="34">
        <f t="shared" si="23"/>
        <v>318786.63204148592</v>
      </c>
      <c r="U49" s="34">
        <f t="shared" si="23"/>
        <v>298182.77029899933</v>
      </c>
      <c r="V49" s="34">
        <f t="shared" si="23"/>
        <v>277111.34429479972</v>
      </c>
      <c r="W49" s="34">
        <f t="shared" si="23"/>
        <v>255555.94197883812</v>
      </c>
      <c r="X49" s="34">
        <f t="shared" si="23"/>
        <v>233499.56483588659</v>
      </c>
      <c r="Y49" s="34">
        <f t="shared" si="23"/>
        <v>210924.60570624279</v>
      </c>
      <c r="Z49" s="34">
        <f t="shared" si="23"/>
        <v>118512.82574544159</v>
      </c>
      <c r="AA49" s="34">
        <f t="shared" si="23"/>
        <v>94845.330489074986</v>
      </c>
      <c r="AB49" s="34">
        <f t="shared" si="23"/>
        <v>70602.544987444358</v>
      </c>
      <c r="AC49" s="34">
        <f t="shared" si="23"/>
        <v>2997290.2283478999</v>
      </c>
      <c r="AD49" s="34">
        <f t="shared" si="23"/>
        <v>2953924.9134639227</v>
      </c>
      <c r="AE49" s="34">
        <f t="shared" si="23"/>
        <v>4079129.8882728047</v>
      </c>
      <c r="AF49" s="34">
        <f t="shared" si="23"/>
        <v>4029208.8689940167</v>
      </c>
      <c r="AG49" s="34">
        <f t="shared" si="23"/>
        <v>3978946.9474148732</v>
      </c>
      <c r="AH49" s="34">
        <f t="shared" si="23"/>
        <v>3928334.0178989423</v>
      </c>
      <c r="AI49" s="34">
        <f t="shared" si="23"/>
        <v>3877359.7891350142</v>
      </c>
      <c r="AJ49" s="34">
        <f t="shared" si="23"/>
        <v>3826013.7803414171</v>
      </c>
      <c r="AK49" s="34">
        <f t="shared" si="23"/>
        <v>3774285.3173948298</v>
      </c>
      <c r="AL49" s="34">
        <f t="shared" si="23"/>
        <v>3722163.5288820779</v>
      </c>
      <c r="AM49" s="34">
        <f t="shared" si="23"/>
        <v>3669637.342073373</v>
      </c>
      <c r="AN49" s="34">
        <f t="shared" si="23"/>
        <v>3616695.4788154257</v>
      </c>
      <c r="AO49" s="34">
        <f t="shared" si="23"/>
        <v>3563326.4513428179</v>
      </c>
      <c r="AP49" s="34">
        <f t="shared" si="23"/>
        <v>3509518.5580060012</v>
      </c>
      <c r="AQ49" s="34">
        <f t="shared" si="23"/>
        <v>3455259.8789142673</v>
      </c>
      <c r="AR49" s="34">
        <f t="shared" si="23"/>
        <v>3400538.2714919569</v>
      </c>
      <c r="AS49" s="34">
        <f t="shared" si="23"/>
        <v>3345341.3659462049</v>
      </c>
    </row>
    <row r="50" spans="2:1006" outlineLevel="1" x14ac:dyDescent="0.35"/>
    <row r="51" spans="2:1006" outlineLevel="1" x14ac:dyDescent="0.35">
      <c r="C51" s="33" t="s">
        <v>240</v>
      </c>
      <c r="E51" s="33" t="s">
        <v>90</v>
      </c>
      <c r="F51" s="38">
        <f>IRR(J49:AS49)</f>
        <v>7.2203891523351826E-2</v>
      </c>
    </row>
    <row r="52" spans="2:1006" outlineLevel="1" x14ac:dyDescent="0.35"/>
    <row r="53" spans="2:1006" outlineLevel="1" x14ac:dyDescent="0.35"/>
    <row r="54" spans="2:1006" x14ac:dyDescent="0.35">
      <c r="B54" s="28" t="s">
        <v>241</v>
      </c>
      <c r="C54" s="28"/>
      <c r="D54" s="28"/>
      <c r="E54" s="28"/>
      <c r="F54" s="28"/>
      <c r="G54" s="28"/>
      <c r="H54" s="28"/>
      <c r="I54" s="28"/>
      <c r="J54" s="28"/>
      <c r="K54" s="28">
        <f>K2</f>
        <v>1</v>
      </c>
      <c r="L54" s="28">
        <f t="shared" ref="L54:AS54" si="24">L2</f>
        <v>2</v>
      </c>
      <c r="M54" s="28">
        <f t="shared" si="24"/>
        <v>3</v>
      </c>
      <c r="N54" s="28">
        <f t="shared" si="24"/>
        <v>4</v>
      </c>
      <c r="O54" s="28">
        <f t="shared" si="24"/>
        <v>5</v>
      </c>
      <c r="P54" s="28">
        <f t="shared" si="24"/>
        <v>6</v>
      </c>
      <c r="Q54" s="28">
        <f t="shared" si="24"/>
        <v>7</v>
      </c>
      <c r="R54" s="28">
        <f t="shared" si="24"/>
        <v>8</v>
      </c>
      <c r="S54" s="28">
        <f t="shared" si="24"/>
        <v>9</v>
      </c>
      <c r="T54" s="28">
        <f t="shared" si="24"/>
        <v>10</v>
      </c>
      <c r="U54" s="28">
        <f t="shared" si="24"/>
        <v>11</v>
      </c>
      <c r="V54" s="28">
        <f t="shared" si="24"/>
        <v>12</v>
      </c>
      <c r="W54" s="28">
        <f t="shared" si="24"/>
        <v>13</v>
      </c>
      <c r="X54" s="28">
        <f t="shared" si="24"/>
        <v>14</v>
      </c>
      <c r="Y54" s="28">
        <f t="shared" si="24"/>
        <v>15</v>
      </c>
      <c r="Z54" s="28">
        <f t="shared" si="24"/>
        <v>16</v>
      </c>
      <c r="AA54" s="28">
        <f t="shared" si="24"/>
        <v>17</v>
      </c>
      <c r="AB54" s="28">
        <f t="shared" si="24"/>
        <v>18</v>
      </c>
      <c r="AC54" s="28">
        <f t="shared" si="24"/>
        <v>19</v>
      </c>
      <c r="AD54" s="28">
        <f t="shared" si="24"/>
        <v>20</v>
      </c>
      <c r="AE54" s="28">
        <f t="shared" si="24"/>
        <v>21</v>
      </c>
      <c r="AF54" s="28">
        <f t="shared" si="24"/>
        <v>22</v>
      </c>
      <c r="AG54" s="28">
        <f t="shared" si="24"/>
        <v>23</v>
      </c>
      <c r="AH54" s="28">
        <f t="shared" si="24"/>
        <v>24</v>
      </c>
      <c r="AI54" s="28">
        <f t="shared" si="24"/>
        <v>25</v>
      </c>
      <c r="AJ54" s="28">
        <f t="shared" si="24"/>
        <v>26</v>
      </c>
      <c r="AK54" s="28">
        <f t="shared" si="24"/>
        <v>27</v>
      </c>
      <c r="AL54" s="28">
        <f t="shared" si="24"/>
        <v>28</v>
      </c>
      <c r="AM54" s="28">
        <f t="shared" si="24"/>
        <v>29</v>
      </c>
      <c r="AN54" s="28">
        <f t="shared" si="24"/>
        <v>30</v>
      </c>
      <c r="AO54" s="28">
        <f t="shared" si="24"/>
        <v>31</v>
      </c>
      <c r="AP54" s="28">
        <f t="shared" si="24"/>
        <v>32</v>
      </c>
      <c r="AQ54" s="28">
        <f t="shared" si="24"/>
        <v>33</v>
      </c>
      <c r="AR54" s="28">
        <f t="shared" si="24"/>
        <v>34</v>
      </c>
      <c r="AS54" s="28">
        <f t="shared" si="24"/>
        <v>35</v>
      </c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  <c r="ALK54" s="28"/>
      <c r="ALL54" s="28"/>
      <c r="ALM54" s="28"/>
      <c r="ALN54" s="28"/>
      <c r="ALO54" s="28"/>
      <c r="ALP54" s="28"/>
      <c r="ALQ54" s="28"/>
      <c r="ALR54" s="28"/>
    </row>
    <row r="55" spans="2:1006" x14ac:dyDescent="0.35">
      <c r="C55" s="33" t="s">
        <v>145</v>
      </c>
      <c r="J55" s="34">
        <f>J13</f>
        <v>0</v>
      </c>
      <c r="K55" s="34">
        <f t="shared" ref="K55:AS55" si="25">K13</f>
        <v>4018700</v>
      </c>
      <c r="L55" s="34">
        <f t="shared" si="25"/>
        <v>3977186.5</v>
      </c>
      <c r="M55" s="34">
        <f t="shared" si="25"/>
        <v>4084433.7281705458</v>
      </c>
      <c r="N55" s="34">
        <f t="shared" si="25"/>
        <v>4623518.8271617191</v>
      </c>
      <c r="O55" s="34">
        <f t="shared" si="25"/>
        <v>4573408.0810359102</v>
      </c>
      <c r="P55" s="34">
        <f t="shared" si="25"/>
        <v>4523008.0256009307</v>
      </c>
      <c r="Q55" s="34">
        <f t="shared" si="25"/>
        <v>4472309.3101425311</v>
      </c>
      <c r="R55" s="34">
        <f t="shared" si="25"/>
        <v>4421302.4147548135</v>
      </c>
      <c r="S55" s="34">
        <f t="shared" si="25"/>
        <v>4369977.6468672948</v>
      </c>
      <c r="T55" s="34">
        <f t="shared" si="25"/>
        <v>4318325.1377029391</v>
      </c>
      <c r="U55" s="34">
        <f t="shared" si="25"/>
        <v>4266334.8386658058</v>
      </c>
      <c r="V55" s="34">
        <f t="shared" si="25"/>
        <v>4213996.5176568842</v>
      </c>
      <c r="W55" s="34">
        <f t="shared" si="25"/>
        <v>4161299.7553166961</v>
      </c>
      <c r="X55" s="34">
        <f t="shared" si="25"/>
        <v>4108233.9411931718</v>
      </c>
      <c r="Y55" s="34">
        <f t="shared" si="25"/>
        <v>4054788.2698333259</v>
      </c>
      <c r="Z55" s="34">
        <f t="shared" si="25"/>
        <v>4000951.7367972005</v>
      </c>
      <c r="AA55" s="34">
        <f t="shared" si="25"/>
        <v>3946713.1345925168</v>
      </c>
      <c r="AB55" s="34">
        <f t="shared" si="25"/>
        <v>3892061.0485284436</v>
      </c>
      <c r="AC55" s="34">
        <f t="shared" si="25"/>
        <v>3836983.8524868689</v>
      </c>
      <c r="AD55" s="34">
        <f t="shared" si="25"/>
        <v>3781469.7046095226</v>
      </c>
      <c r="AE55" s="34">
        <f t="shared" si="25"/>
        <v>5221901.8917385321</v>
      </c>
      <c r="AF55" s="34">
        <f t="shared" si="25"/>
        <v>5157995.452828886</v>
      </c>
      <c r="AG55" s="34">
        <f t="shared" si="25"/>
        <v>5093652.6075247675</v>
      </c>
      <c r="AH55" s="34">
        <f t="shared" si="25"/>
        <v>5028860.4190863706</v>
      </c>
      <c r="AI55" s="34">
        <f t="shared" si="25"/>
        <v>4963605.7130821506</v>
      </c>
      <c r="AJ55" s="34">
        <f t="shared" si="25"/>
        <v>4897875.072529776</v>
      </c>
      <c r="AK55" s="34">
        <f t="shared" si="25"/>
        <v>4831654.8329404239</v>
      </c>
      <c r="AL55" s="34">
        <f t="shared" si="25"/>
        <v>4764931.0772644849</v>
      </c>
      <c r="AM55" s="34">
        <f t="shared" si="25"/>
        <v>4697689.6307366993</v>
      </c>
      <c r="AN55" s="34">
        <f t="shared" si="25"/>
        <v>4629916.0556187239</v>
      </c>
      <c r="AO55" s="34">
        <f t="shared" si="25"/>
        <v>4561595.6458370537</v>
      </c>
      <c r="AP55" s="34">
        <f t="shared" si="25"/>
        <v>4492713.4215142187</v>
      </c>
      <c r="AQ55" s="34">
        <f t="shared" si="25"/>
        <v>4423254.1233911254</v>
      </c>
      <c r="AR55" s="34">
        <f t="shared" si="25"/>
        <v>4353202.2071383372</v>
      </c>
      <c r="AS55" s="34">
        <f t="shared" si="25"/>
        <v>4282541.8375540972</v>
      </c>
    </row>
    <row r="56" spans="2:1006" x14ac:dyDescent="0.35">
      <c r="C56" s="33" t="s">
        <v>242</v>
      </c>
      <c r="J56" s="34">
        <f>J39</f>
        <v>0</v>
      </c>
      <c r="K56" s="34">
        <f t="shared" ref="K56:AS56" si="26">K39</f>
        <v>3091307.692307692</v>
      </c>
      <c r="L56" s="34">
        <f t="shared" si="26"/>
        <v>3059374.2307692305</v>
      </c>
      <c r="M56" s="34">
        <f t="shared" si="26"/>
        <v>3141872.0985927274</v>
      </c>
      <c r="N56" s="34">
        <f t="shared" si="26"/>
        <v>3556552.9439705531</v>
      </c>
      <c r="O56" s="34">
        <f t="shared" si="26"/>
        <v>3518006.2161814691</v>
      </c>
      <c r="P56" s="34">
        <f t="shared" si="26"/>
        <v>3479236.9427699465</v>
      </c>
      <c r="Q56" s="34">
        <f t="shared" si="26"/>
        <v>3440237.9308788697</v>
      </c>
      <c r="R56" s="34">
        <f t="shared" si="26"/>
        <v>3401001.8575037024</v>
      </c>
      <c r="S56" s="34">
        <f t="shared" si="26"/>
        <v>3361521.2668209961</v>
      </c>
      <c r="T56" s="34">
        <f t="shared" si="26"/>
        <v>3321788.5674637994</v>
      </c>
      <c r="U56" s="34">
        <f t="shared" si="26"/>
        <v>3281796.0297429273</v>
      </c>
      <c r="V56" s="34">
        <f t="shared" si="26"/>
        <v>3241535.7828129879</v>
      </c>
      <c r="W56" s="34">
        <f t="shared" si="26"/>
        <v>3200999.8117820737</v>
      </c>
      <c r="X56" s="34">
        <f t="shared" si="26"/>
        <v>3160179.9547639783</v>
      </c>
      <c r="Y56" s="34">
        <f t="shared" si="26"/>
        <v>3119067.8998717889</v>
      </c>
      <c r="Z56" s="34">
        <f t="shared" si="26"/>
        <v>3077655.1821516925</v>
      </c>
      <c r="AA56" s="34">
        <f t="shared" si="26"/>
        <v>3035933.180455782</v>
      </c>
      <c r="AB56" s="34">
        <f t="shared" si="26"/>
        <v>2993893.1142526488</v>
      </c>
      <c r="AC56" s="34">
        <f t="shared" si="26"/>
        <v>0</v>
      </c>
      <c r="AD56" s="34">
        <f t="shared" si="26"/>
        <v>0</v>
      </c>
      <c r="AE56" s="34">
        <f t="shared" si="26"/>
        <v>0</v>
      </c>
      <c r="AF56" s="34">
        <f t="shared" si="26"/>
        <v>0</v>
      </c>
      <c r="AG56" s="34">
        <f t="shared" si="26"/>
        <v>0</v>
      </c>
      <c r="AH56" s="34">
        <f t="shared" si="26"/>
        <v>0</v>
      </c>
      <c r="AI56" s="34">
        <f t="shared" si="26"/>
        <v>0</v>
      </c>
      <c r="AJ56" s="34">
        <f t="shared" si="26"/>
        <v>0</v>
      </c>
      <c r="AK56" s="34">
        <f t="shared" si="26"/>
        <v>0</v>
      </c>
      <c r="AL56" s="34">
        <f t="shared" si="26"/>
        <v>0</v>
      </c>
      <c r="AM56" s="34">
        <f t="shared" si="26"/>
        <v>0</v>
      </c>
      <c r="AN56" s="34">
        <f t="shared" si="26"/>
        <v>0</v>
      </c>
      <c r="AO56" s="34">
        <f t="shared" si="26"/>
        <v>0</v>
      </c>
      <c r="AP56" s="34">
        <f t="shared" si="26"/>
        <v>0</v>
      </c>
      <c r="AQ56" s="34">
        <f t="shared" si="26"/>
        <v>0</v>
      </c>
      <c r="AR56" s="34">
        <f t="shared" si="26"/>
        <v>0</v>
      </c>
      <c r="AS56" s="34">
        <f t="shared" si="26"/>
        <v>0</v>
      </c>
    </row>
  </sheetData>
  <conditionalFormatting sqref="A1:XFD1048576">
    <cfRule type="expression" dxfId="9" priority="10">
      <formula>A1=TRUE</formula>
    </cfRule>
    <cfRule type="expression" dxfId="8" priority="9">
      <formula>AND(A1&lt;&gt;"",A1=FALSE)</formula>
    </cfRule>
  </conditionalFormatting>
  <conditionalFormatting sqref="J6:AAA6">
    <cfRule type="expression" dxfId="7" priority="8">
      <formula>J6=1</formula>
    </cfRule>
    <cfRule type="expression" dxfId="6" priority="7">
      <formula>AND(J6=0,J6&lt;&gt;"")</formula>
    </cfRule>
  </conditionalFormatting>
  <conditionalFormatting sqref="J7:AAA7">
    <cfRule type="expression" dxfId="5" priority="6">
      <formula>J7=1</formula>
    </cfRule>
    <cfRule type="expression" dxfId="4" priority="5">
      <formula>AND(J7=0,J7&lt;&gt;"")</formula>
    </cfRule>
  </conditionalFormatting>
  <conditionalFormatting sqref="J8:AAA8">
    <cfRule type="expression" dxfId="3" priority="4">
      <formula>J8=1</formula>
    </cfRule>
    <cfRule type="expression" dxfId="2" priority="3">
      <formula>AND(J8=0,J8&lt;&gt;"")</formula>
    </cfRule>
  </conditionalFormatting>
  <conditionalFormatting sqref="J22:AAA22">
    <cfRule type="expression" dxfId="1" priority="2">
      <formula>J22=1</formula>
    </cfRule>
    <cfRule type="expression" dxfId="0" priority="1">
      <formula>AND(J22=0,J22&lt;&gt;"")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DEFE55823DB4A8D07F47DB7D7F8A1" ma:contentTypeVersion="17" ma:contentTypeDescription="Create a new document." ma:contentTypeScope="" ma:versionID="2f00a64b37609d6d78bc0b8ddd2f4ca8">
  <xsd:schema xmlns:xsd="http://www.w3.org/2001/XMLSchema" xmlns:xs="http://www.w3.org/2001/XMLSchema" xmlns:p="http://schemas.microsoft.com/office/2006/metadata/properties" xmlns:ns2="0ba70bb3-48f7-474b-a218-eb3c43d0d5d1" xmlns:ns3="9302623f-f54e-4ea2-903c-d29a396bd13e" targetNamespace="http://schemas.microsoft.com/office/2006/metadata/properties" ma:root="true" ma:fieldsID="468a2f664feb9a460fb26bf859be8c3f" ns2:_="" ns3:_="">
    <xsd:import namespace="0ba70bb3-48f7-474b-a218-eb3c43d0d5d1"/>
    <xsd:import namespace="9302623f-f54e-4ea2-903c-d29a396bd1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Versio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70bb3-48f7-474b-a218-eb3c43d0d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aa6c7e3-63f5-4517-b597-498e35cc5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VersionDescription" ma:index="23" nillable="true" ma:displayName="Version Description" ma:format="Dropdown" ma:internalName="Version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2623f-f54e-4ea2-903c-d29a396bd13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3e35ad0-5208-4f72-b1be-98ede93e3804}" ma:internalName="TaxCatchAll" ma:showField="CatchAllData" ma:web="9302623f-f54e-4ea2-903c-d29a396bd1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4B518-06A4-4841-A52A-1E4A7162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a70bb3-48f7-474b-a218-eb3c43d0d5d1"/>
    <ds:schemaRef ds:uri="9302623f-f54e-4ea2-903c-d29a396bd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312828-14B1-4CE2-BF57-C6440138B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Outputs</vt:lpstr>
      <vt:lpstr>Inputs</vt:lpstr>
      <vt:lpstr>SPV Operating Cash</vt:lpstr>
      <vt:lpstr>Taxes</vt:lpstr>
      <vt:lpstr>Allocation</vt:lpstr>
      <vt:lpstr>Back Leverage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Brunell</dc:creator>
  <cp:lastModifiedBy>Edward Bodmer</cp:lastModifiedBy>
  <dcterms:created xsi:type="dcterms:W3CDTF">2019-03-01T18:30:47Z</dcterms:created>
  <dcterms:modified xsi:type="dcterms:W3CDTF">2023-02-06T04:58:01Z</dcterms:modified>
</cp:coreProperties>
</file>