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2d64a42721f930/Courses New/Chapter 1. Models and Analysis/B. Project Finance Models and Exercises/G. Financial Modelling Interview Exams/Solar Case/"/>
    </mc:Choice>
  </mc:AlternateContent>
  <xr:revisionPtr revIDLastSave="0" documentId="14_{F222DD4D-BC4E-4C77-A104-D27CBEC1DF93}" xr6:coauthVersionLast="47" xr6:coauthVersionMax="47" xr10:uidLastSave="{00000000-0000-0000-0000-000000000000}"/>
  <bookViews>
    <workbookView xWindow="-96" yWindow="-96" windowWidth="19392" windowHeight="10392" activeTab="2" xr2:uid="{69CA6E98-30AB-488C-AB73-0951BD8A9916}"/>
  </bookViews>
  <sheets>
    <sheet name="Summary" sheetId="3" r:id="rId1"/>
    <sheet name="Input" sheetId="1" r:id="rId2"/>
    <sheet name="Model" sheetId="2" r:id="rId3"/>
    <sheet name="Equiations" sheetId="4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4" i="2" l="1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F101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F100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F99" i="2"/>
  <c r="F96" i="2"/>
  <c r="E96" i="2"/>
  <c r="E94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E92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E85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F81" i="2"/>
  <c r="E78" i="2"/>
  <c r="F76" i="2"/>
  <c r="E76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E71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E68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E67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E66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E63" i="2"/>
  <c r="E60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F57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E56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F53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E50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E49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E45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F42" i="2"/>
  <c r="E42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F40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F38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E36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F34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E31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E26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F22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E17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E16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F13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E10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E8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E7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K9" i="3"/>
  <c r="K8" i="3"/>
  <c r="F8" i="3"/>
  <c r="K6" i="3"/>
  <c r="K4" i="3"/>
  <c r="K3" i="3"/>
  <c r="F3" i="3"/>
  <c r="K2" i="3"/>
</calcChain>
</file>

<file path=xl/sharedStrings.xml><?xml version="1.0" encoding="utf-8"?>
<sst xmlns="http://schemas.openxmlformats.org/spreadsheetml/2006/main" count="214" uniqueCount="127">
  <si>
    <t>Time</t>
  </si>
  <si>
    <t>Operations</t>
  </si>
  <si>
    <t>Capacity</t>
  </si>
  <si>
    <t>Yield</t>
  </si>
  <si>
    <t>kWp</t>
  </si>
  <si>
    <t>KWh/kWp</t>
  </si>
  <si>
    <t>Timing</t>
  </si>
  <si>
    <t>Generation</t>
  </si>
  <si>
    <t xml:space="preserve"> </t>
  </si>
  <si>
    <t>Degradation rate</t>
  </si>
  <si>
    <t>%</t>
  </si>
  <si>
    <t>Degradation</t>
  </si>
  <si>
    <t>Degradation Index</t>
  </si>
  <si>
    <t>Generation before degradation</t>
  </si>
  <si>
    <t>Generation after degradation</t>
  </si>
  <si>
    <t>kWh/kWp</t>
  </si>
  <si>
    <t>kWh</t>
  </si>
  <si>
    <t>Index</t>
  </si>
  <si>
    <t>Revenue</t>
  </si>
  <si>
    <t>PPA price</t>
  </si>
  <si>
    <t>$/MWh</t>
  </si>
  <si>
    <t>escalation factor</t>
  </si>
  <si>
    <t>Operation Expenses</t>
  </si>
  <si>
    <t>O&amp;M expenses</t>
  </si>
  <si>
    <t>$/W</t>
  </si>
  <si>
    <t>Insurance expenses</t>
  </si>
  <si>
    <t>$</t>
  </si>
  <si>
    <t>Insurance expense factor</t>
  </si>
  <si>
    <t>$/year</t>
  </si>
  <si>
    <t>Tax</t>
  </si>
  <si>
    <t>Tax rate</t>
  </si>
  <si>
    <t>Tax life</t>
  </si>
  <si>
    <t>years</t>
  </si>
  <si>
    <t>Capex</t>
  </si>
  <si>
    <t>Solar Plant Purchace Price</t>
  </si>
  <si>
    <t xml:space="preserve">Financing </t>
  </si>
  <si>
    <t>Debt service coverage ratio</t>
  </si>
  <si>
    <t>x</t>
  </si>
  <si>
    <t>Interest rate</t>
  </si>
  <si>
    <t>Debt term</t>
  </si>
  <si>
    <t>site lease</t>
  </si>
  <si>
    <t xml:space="preserve">Pre-tax return </t>
  </si>
  <si>
    <t>unleveraged</t>
  </si>
  <si>
    <t xml:space="preserve">leveraged </t>
  </si>
  <si>
    <t xml:space="preserve">After-tax return </t>
  </si>
  <si>
    <t>20 years cash-on cash yield</t>
  </si>
  <si>
    <t>Payback period</t>
  </si>
  <si>
    <t>NPV</t>
  </si>
  <si>
    <t>Year</t>
  </si>
  <si>
    <t>Purchase Period</t>
  </si>
  <si>
    <t>Operating Period</t>
  </si>
  <si>
    <t>FLAG</t>
  </si>
  <si>
    <t>Revenues</t>
  </si>
  <si>
    <t xml:space="preserve">PPA Price </t>
  </si>
  <si>
    <t>Escalation factor</t>
  </si>
  <si>
    <t>Escalation Index</t>
  </si>
  <si>
    <t>Escalated Price</t>
  </si>
  <si>
    <t>MWh</t>
  </si>
  <si>
    <t xml:space="preserve">Revenues </t>
  </si>
  <si>
    <t>Operating Expenses</t>
  </si>
  <si>
    <t>Site lease</t>
  </si>
  <si>
    <t>Escalation index</t>
  </si>
  <si>
    <t>Insurance  index</t>
  </si>
  <si>
    <t>Wp</t>
  </si>
  <si>
    <t xml:space="preserve">Escalated O&amp;M expenses </t>
  </si>
  <si>
    <t>Escalted Insurance expenses</t>
  </si>
  <si>
    <t>O&amp;M rate</t>
  </si>
  <si>
    <t>Total Operation Expenses</t>
  </si>
  <si>
    <t>EBITDA</t>
  </si>
  <si>
    <t>Pre-tax unleveraged cashflow</t>
  </si>
  <si>
    <t>Pre-tax unleveraged IRR</t>
  </si>
  <si>
    <t>Depreciation</t>
  </si>
  <si>
    <t xml:space="preserve">Depreciation base </t>
  </si>
  <si>
    <t>Depreciation life</t>
  </si>
  <si>
    <t>Depreciation rate</t>
  </si>
  <si>
    <t>Depreciation amount</t>
  </si>
  <si>
    <t xml:space="preserve">EBIT </t>
  </si>
  <si>
    <t xml:space="preserve">Operating Tax </t>
  </si>
  <si>
    <t>Taxes</t>
  </si>
  <si>
    <t>After-tax unleveraged cashflow</t>
  </si>
  <si>
    <t>After-tax unleveraged IRR</t>
  </si>
  <si>
    <t>Sum</t>
  </si>
  <si>
    <t>Financing</t>
  </si>
  <si>
    <t>Repayment Flag</t>
  </si>
  <si>
    <t>CFADS</t>
  </si>
  <si>
    <t>DSCR = CFADS/Debt service</t>
  </si>
  <si>
    <t>Debt service = CFADS/DSCR</t>
  </si>
  <si>
    <t>Debt service = interests+repayment</t>
  </si>
  <si>
    <t>Repayment = Debt service-interests</t>
  </si>
  <si>
    <t>NPV uses interest rate</t>
  </si>
  <si>
    <t>NPV begins at repayment period</t>
  </si>
  <si>
    <t>NPV of Debt service = Debt amount (size)</t>
  </si>
  <si>
    <t>Debt service</t>
  </si>
  <si>
    <t>Interst Rate</t>
  </si>
  <si>
    <t xml:space="preserve">Debt size </t>
  </si>
  <si>
    <t>Opening balance</t>
  </si>
  <si>
    <t>add debt drawsdowns</t>
  </si>
  <si>
    <t>less debt repayment</t>
  </si>
  <si>
    <t>Closing balance</t>
  </si>
  <si>
    <t>Interest</t>
  </si>
  <si>
    <t>Test of closing balance</t>
  </si>
  <si>
    <t>Test</t>
  </si>
  <si>
    <t>Debt to Capital</t>
  </si>
  <si>
    <t>Pre-tax leveraged Cash flow</t>
  </si>
  <si>
    <t>Pre-tax leveraged IRR</t>
  </si>
  <si>
    <t>Pre-tax unleveraged cash flow</t>
  </si>
  <si>
    <t xml:space="preserve">add debt draws </t>
  </si>
  <si>
    <t>less debt service</t>
  </si>
  <si>
    <t>Pre-tax leveraged cashflow</t>
  </si>
  <si>
    <t>After-tax leveraged cash flow</t>
  </si>
  <si>
    <t>EBIT</t>
  </si>
  <si>
    <t>less interest</t>
  </si>
  <si>
    <t>EBT</t>
  </si>
  <si>
    <t>taxes on EBT</t>
  </si>
  <si>
    <t>After-tax leveraged IRR</t>
  </si>
  <si>
    <t>Valuation assumptions</t>
  </si>
  <si>
    <t>After-tax equity hurdle rate</t>
  </si>
  <si>
    <t>Cash inflow</t>
  </si>
  <si>
    <t>Cash outflow</t>
  </si>
  <si>
    <t>OMRC</t>
  </si>
  <si>
    <t>accumulated cash flow</t>
  </si>
  <si>
    <t>payback period</t>
  </si>
  <si>
    <t>PPA Period</t>
  </si>
  <si>
    <t>Cap Exp</t>
  </si>
  <si>
    <t>$/kWp</t>
  </si>
  <si>
    <t>O&amp;M/kWp</t>
  </si>
  <si>
    <t>Capacity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</si>
</sst>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[Red]_(* \(#,##0\);_(* &quot;-&quot;??_);_(@_)"/>
    <numFmt numFmtId="166" formatCode="_-* #,##0.00_-;[Red]_(* \(#,##0.00\)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8FFEF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2" borderId="0" xfId="0" applyFill="1"/>
    <xf numFmtId="165" fontId="0" fillId="0" borderId="0" xfId="0" applyNumberFormat="1"/>
    <xf numFmtId="166" fontId="0" fillId="0" borderId="0" xfId="2" applyNumberFormat="1" applyFont="1"/>
    <xf numFmtId="0" fontId="3" fillId="3" borderId="0" xfId="0" applyFont="1" applyFill="1"/>
    <xf numFmtId="3" fontId="3" fillId="3" borderId="0" xfId="0" applyNumberFormat="1" applyFont="1" applyFill="1"/>
    <xf numFmtId="10" fontId="3" fillId="3" borderId="0" xfId="0" applyNumberFormat="1" applyFont="1" applyFill="1"/>
    <xf numFmtId="9" fontId="3" fillId="3" borderId="0" xfId="0" applyNumberFormat="1" applyFont="1" applyFill="1"/>
    <xf numFmtId="4" fontId="3" fillId="3" borderId="0" xfId="0" applyNumberFormat="1" applyFont="1" applyFill="1"/>
    <xf numFmtId="0" fontId="5" fillId="0" borderId="0" xfId="0" applyFont="1"/>
    <xf numFmtId="3" fontId="5" fillId="0" borderId="0" xfId="0" applyNumberFormat="1" applyFont="1"/>
    <xf numFmtId="10" fontId="5" fillId="0" borderId="0" xfId="0" applyNumberFormat="1" applyFont="1"/>
    <xf numFmtId="9" fontId="5" fillId="0" borderId="0" xfId="0" applyNumberFormat="1" applyFont="1"/>
    <xf numFmtId="4" fontId="5" fillId="0" borderId="0" xfId="0" applyNumberFormat="1" applyFont="1"/>
    <xf numFmtId="0" fontId="4" fillId="4" borderId="0" xfId="0" applyFont="1" applyFill="1"/>
    <xf numFmtId="166" fontId="3" fillId="3" borderId="0" xfId="2" applyNumberFormat="1" applyFont="1" applyFill="1"/>
    <xf numFmtId="165" fontId="6" fillId="5" borderId="2" xfId="0" applyNumberFormat="1" applyFont="1" applyFill="1" applyBorder="1"/>
    <xf numFmtId="165" fontId="6" fillId="5" borderId="1" xfId="0" applyNumberFormat="1" applyFont="1" applyFill="1" applyBorder="1"/>
    <xf numFmtId="4" fontId="6" fillId="5" borderId="0" xfId="0" applyNumberFormat="1" applyFont="1" applyFill="1"/>
    <xf numFmtId="165" fontId="6" fillId="5" borderId="0" xfId="0" applyNumberFormat="1" applyFont="1" applyFill="1"/>
    <xf numFmtId="165" fontId="6" fillId="5" borderId="0" xfId="2" applyNumberFormat="1" applyFont="1" applyFill="1"/>
    <xf numFmtId="3" fontId="6" fillId="6" borderId="0" xfId="0" applyNumberFormat="1" applyFont="1" applyFill="1"/>
    <xf numFmtId="10" fontId="6" fillId="6" borderId="0" xfId="0" applyNumberFormat="1" applyFont="1" applyFill="1"/>
    <xf numFmtId="166" fontId="6" fillId="6" borderId="0" xfId="2" applyNumberFormat="1" applyFont="1" applyFill="1"/>
    <xf numFmtId="0" fontId="6" fillId="6" borderId="0" xfId="0" applyFont="1" applyFill="1"/>
    <xf numFmtId="9" fontId="6" fillId="6" borderId="0" xfId="0" applyNumberFormat="1" applyFont="1" applyFill="1"/>
    <xf numFmtId="165" fontId="6" fillId="6" borderId="0" xfId="0" applyNumberFormat="1" applyFont="1" applyFill="1"/>
    <xf numFmtId="165" fontId="6" fillId="6" borderId="1" xfId="0" applyNumberFormat="1" applyFont="1" applyFill="1" applyBorder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165" fontId="5" fillId="0" borderId="0" xfId="0" applyNumberFormat="1" applyFont="1"/>
    <xf numFmtId="10" fontId="5" fillId="0" borderId="0" xfId="1" applyNumberFormat="1" applyFont="1" applyFill="1"/>
    <xf numFmtId="166" fontId="5" fillId="0" borderId="0" xfId="2" applyNumberFormat="1" applyFont="1" applyFill="1"/>
    <xf numFmtId="165" fontId="5" fillId="0" borderId="2" xfId="0" applyNumberFormat="1" applyFont="1" applyBorder="1"/>
    <xf numFmtId="0" fontId="5" fillId="0" borderId="1" xfId="0" applyFont="1" applyBorder="1"/>
    <xf numFmtId="165" fontId="5" fillId="0" borderId="1" xfId="0" applyNumberFormat="1" applyFont="1" applyBorder="1"/>
    <xf numFmtId="9" fontId="5" fillId="0" borderId="1" xfId="0" applyNumberFormat="1" applyFont="1" applyBorder="1"/>
    <xf numFmtId="0" fontId="5" fillId="0" borderId="2" xfId="0" applyFont="1" applyBorder="1"/>
    <xf numFmtId="164" fontId="5" fillId="0" borderId="0" xfId="0" applyNumberFormat="1" applyFont="1"/>
    <xf numFmtId="165" fontId="5" fillId="0" borderId="0" xfId="2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4"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8E273-FF4D-4303-808F-C08BE478CB6D}">
  <dimension ref="C2:K17"/>
  <sheetViews>
    <sheetView workbookViewId="0">
      <selection activeCell="F7" sqref="F7"/>
    </sheetView>
  </sheetViews>
  <sheetFormatPr defaultRowHeight="14.4" x14ac:dyDescent="0.55000000000000004"/>
  <cols>
    <col min="1" max="3" width="1.15625" customWidth="1"/>
    <col min="4" max="4" width="3.62890625" customWidth="1"/>
    <col min="5" max="5" width="22.734375" customWidth="1"/>
    <col min="10" max="10" width="13.62890625" customWidth="1"/>
    <col min="11" max="11" width="12.26171875" bestFit="1" customWidth="1"/>
  </cols>
  <sheetData>
    <row r="2" spans="3:11" x14ac:dyDescent="0.55000000000000004">
      <c r="C2" t="s">
        <v>41</v>
      </c>
      <c r="J2" t="s">
        <v>123</v>
      </c>
      <c r="K2" s="4">
        <f>Input!E22</f>
        <v>70000000</v>
      </c>
    </row>
    <row r="3" spans="3:11" x14ac:dyDescent="0.55000000000000004">
      <c r="D3" t="s">
        <v>42</v>
      </c>
      <c r="F3" s="2">
        <f>Model!E45</f>
        <v>7.5184908704554854E-2</v>
      </c>
      <c r="J3" t="s">
        <v>4</v>
      </c>
      <c r="K3" s="1">
        <f>Input!E6</f>
        <v>25000</v>
      </c>
    </row>
    <row r="4" spans="3:11" x14ac:dyDescent="0.55000000000000004">
      <c r="D4" t="s">
        <v>43</v>
      </c>
      <c r="J4" t="s">
        <v>124</v>
      </c>
      <c r="K4" s="4">
        <f>K2/K3</f>
        <v>2800</v>
      </c>
    </row>
    <row r="6" spans="3:11" x14ac:dyDescent="0.55000000000000004">
      <c r="J6" t="s">
        <v>125</v>
      </c>
      <c r="K6" s="5">
        <f>Input!E15*1000</f>
        <v>15</v>
      </c>
    </row>
    <row r="7" spans="3:11" x14ac:dyDescent="0.55000000000000004">
      <c r="C7" t="s">
        <v>44</v>
      </c>
    </row>
    <row r="8" spans="3:11" x14ac:dyDescent="0.55000000000000004">
      <c r="D8" t="s">
        <v>42</v>
      </c>
      <c r="F8" s="2">
        <f>Model!E60</f>
        <v>6.9581306648780705E-2</v>
      </c>
      <c r="J8" t="s">
        <v>3</v>
      </c>
      <c r="K8" s="1">
        <f>Input!E7</f>
        <v>2000</v>
      </c>
    </row>
    <row r="9" spans="3:11" x14ac:dyDescent="0.55000000000000004">
      <c r="D9" t="s">
        <v>43</v>
      </c>
      <c r="J9" t="s">
        <v>126</v>
      </c>
      <c r="K9" s="2">
        <f>K8/8760</f>
        <v>0.22831050228310501</v>
      </c>
    </row>
    <row r="11" spans="3:11" x14ac:dyDescent="0.55000000000000004">
      <c r="C11" t="s">
        <v>47</v>
      </c>
    </row>
    <row r="14" spans="3:11" x14ac:dyDescent="0.55000000000000004">
      <c r="C14" t="s">
        <v>45</v>
      </c>
    </row>
    <row r="17" spans="3:3" x14ac:dyDescent="0.55000000000000004">
      <c r="C17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CBE1F-3F72-4208-BD9B-43024FC51E93}">
  <dimension ref="B2:E34"/>
  <sheetViews>
    <sheetView workbookViewId="0">
      <selection activeCell="J11" sqref="J11"/>
    </sheetView>
  </sheetViews>
  <sheetFormatPr defaultRowHeight="14.4" outlineLevelRow="1" x14ac:dyDescent="0.55000000000000004"/>
  <cols>
    <col min="1" max="2" width="1.47265625" style="11" customWidth="1"/>
    <col min="3" max="3" width="22.47265625" style="11" bestFit="1" customWidth="1"/>
    <col min="4" max="4" width="9.5234375" style="11" bestFit="1" customWidth="1"/>
    <col min="5" max="5" width="13.3671875" style="11" bestFit="1" customWidth="1"/>
    <col min="6" max="16384" width="8.83984375" style="11"/>
  </cols>
  <sheetData>
    <row r="2" spans="2:5" x14ac:dyDescent="0.55000000000000004">
      <c r="B2" s="11" t="s">
        <v>0</v>
      </c>
    </row>
    <row r="3" spans="2:5" outlineLevel="1" x14ac:dyDescent="0.55000000000000004">
      <c r="C3" s="11" t="s">
        <v>122</v>
      </c>
      <c r="D3" s="11" t="s">
        <v>48</v>
      </c>
      <c r="E3" s="6">
        <v>20</v>
      </c>
    </row>
    <row r="4" spans="2:5" outlineLevel="1" x14ac:dyDescent="0.55000000000000004"/>
    <row r="5" spans="2:5" x14ac:dyDescent="0.55000000000000004">
      <c r="B5" s="11" t="s">
        <v>1</v>
      </c>
    </row>
    <row r="6" spans="2:5" outlineLevel="1" x14ac:dyDescent="0.55000000000000004">
      <c r="C6" s="11" t="s">
        <v>2</v>
      </c>
      <c r="D6" s="11" t="s">
        <v>4</v>
      </c>
      <c r="E6" s="7">
        <v>25000</v>
      </c>
    </row>
    <row r="7" spans="2:5" outlineLevel="1" x14ac:dyDescent="0.55000000000000004">
      <c r="C7" s="11" t="s">
        <v>3</v>
      </c>
      <c r="D7" s="11" t="s">
        <v>5</v>
      </c>
      <c r="E7" s="7">
        <v>2000</v>
      </c>
    </row>
    <row r="8" spans="2:5" outlineLevel="1" x14ac:dyDescent="0.55000000000000004">
      <c r="C8" s="11" t="s">
        <v>11</v>
      </c>
      <c r="D8" s="11" t="s">
        <v>10</v>
      </c>
      <c r="E8" s="8">
        <v>5.0000000000000001E-3</v>
      </c>
    </row>
    <row r="9" spans="2:5" outlineLevel="1" x14ac:dyDescent="0.55000000000000004"/>
    <row r="10" spans="2:5" x14ac:dyDescent="0.55000000000000004">
      <c r="B10" s="11" t="s">
        <v>18</v>
      </c>
    </row>
    <row r="11" spans="2:5" outlineLevel="1" x14ac:dyDescent="0.55000000000000004">
      <c r="C11" s="11" t="s">
        <v>19</v>
      </c>
      <c r="D11" s="11" t="s">
        <v>20</v>
      </c>
      <c r="E11" s="6">
        <v>130</v>
      </c>
    </row>
    <row r="12" spans="2:5" outlineLevel="1" x14ac:dyDescent="0.55000000000000004">
      <c r="C12" s="11" t="s">
        <v>21</v>
      </c>
      <c r="D12" s="11" t="s">
        <v>10</v>
      </c>
      <c r="E12" s="8">
        <v>2.5000000000000001E-2</v>
      </c>
    </row>
    <row r="13" spans="2:5" outlineLevel="1" x14ac:dyDescent="0.55000000000000004"/>
    <row r="14" spans="2:5" x14ac:dyDescent="0.55000000000000004">
      <c r="B14" s="11" t="s">
        <v>22</v>
      </c>
    </row>
    <row r="15" spans="2:5" outlineLevel="1" x14ac:dyDescent="0.55000000000000004">
      <c r="C15" s="11" t="s">
        <v>23</v>
      </c>
      <c r="D15" s="11" t="s">
        <v>24</v>
      </c>
      <c r="E15" s="6">
        <v>1.4999999999999999E-2</v>
      </c>
    </row>
    <row r="16" spans="2:5" outlineLevel="1" x14ac:dyDescent="0.55000000000000004">
      <c r="C16" s="11" t="s">
        <v>21</v>
      </c>
      <c r="D16" s="14" t="s">
        <v>10</v>
      </c>
      <c r="E16" s="9">
        <v>0.02</v>
      </c>
    </row>
    <row r="17" spans="2:5" outlineLevel="1" x14ac:dyDescent="0.55000000000000004">
      <c r="C17" s="11" t="s">
        <v>25</v>
      </c>
      <c r="D17" s="11" t="s">
        <v>26</v>
      </c>
      <c r="E17" s="10">
        <v>200000</v>
      </c>
    </row>
    <row r="18" spans="2:5" outlineLevel="1" x14ac:dyDescent="0.55000000000000004">
      <c r="C18" s="11" t="s">
        <v>27</v>
      </c>
      <c r="D18" s="11" t="s">
        <v>10</v>
      </c>
      <c r="E18" s="9">
        <v>-0.01</v>
      </c>
    </row>
    <row r="19" spans="2:5" outlineLevel="1" x14ac:dyDescent="0.55000000000000004">
      <c r="C19" s="11" t="s">
        <v>40</v>
      </c>
      <c r="D19" s="11" t="s">
        <v>28</v>
      </c>
      <c r="E19" s="10">
        <v>175000</v>
      </c>
    </row>
    <row r="20" spans="2:5" outlineLevel="1" x14ac:dyDescent="0.55000000000000004"/>
    <row r="21" spans="2:5" x14ac:dyDescent="0.55000000000000004">
      <c r="B21" s="11" t="s">
        <v>33</v>
      </c>
    </row>
    <row r="22" spans="2:5" outlineLevel="1" x14ac:dyDescent="0.55000000000000004">
      <c r="C22" s="11" t="s">
        <v>34</v>
      </c>
      <c r="D22" s="11" t="s">
        <v>26</v>
      </c>
      <c r="E22" s="10">
        <v>70000000</v>
      </c>
    </row>
    <row r="23" spans="2:5" outlineLevel="1" x14ac:dyDescent="0.55000000000000004"/>
    <row r="24" spans="2:5" x14ac:dyDescent="0.55000000000000004">
      <c r="B24" s="11" t="s">
        <v>29</v>
      </c>
    </row>
    <row r="25" spans="2:5" outlineLevel="1" x14ac:dyDescent="0.55000000000000004">
      <c r="C25" s="11" t="s">
        <v>30</v>
      </c>
      <c r="D25" s="11" t="s">
        <v>10</v>
      </c>
      <c r="E25" s="9">
        <v>0.21</v>
      </c>
    </row>
    <row r="26" spans="2:5" outlineLevel="1" x14ac:dyDescent="0.55000000000000004">
      <c r="C26" s="11" t="s">
        <v>31</v>
      </c>
      <c r="D26" s="11" t="s">
        <v>32</v>
      </c>
      <c r="E26" s="6">
        <v>5</v>
      </c>
    </row>
    <row r="27" spans="2:5" outlineLevel="1" x14ac:dyDescent="0.55000000000000004"/>
    <row r="28" spans="2:5" x14ac:dyDescent="0.55000000000000004">
      <c r="B28" s="11" t="s">
        <v>35</v>
      </c>
    </row>
    <row r="29" spans="2:5" outlineLevel="1" x14ac:dyDescent="0.55000000000000004">
      <c r="C29" s="11" t="s">
        <v>39</v>
      </c>
      <c r="D29" s="11" t="s">
        <v>32</v>
      </c>
      <c r="E29" s="6">
        <v>20</v>
      </c>
    </row>
    <row r="30" spans="2:5" outlineLevel="1" x14ac:dyDescent="0.55000000000000004">
      <c r="C30" s="11" t="s">
        <v>36</v>
      </c>
      <c r="D30" s="11" t="s">
        <v>37</v>
      </c>
      <c r="E30" s="6">
        <v>1.35</v>
      </c>
    </row>
    <row r="31" spans="2:5" outlineLevel="1" x14ac:dyDescent="0.55000000000000004">
      <c r="C31" s="11" t="s">
        <v>38</v>
      </c>
      <c r="D31" s="11" t="s">
        <v>10</v>
      </c>
      <c r="E31" s="8">
        <v>6.5000000000000002E-2</v>
      </c>
    </row>
    <row r="32" spans="2:5" outlineLevel="1" x14ac:dyDescent="0.55000000000000004"/>
    <row r="33" spans="2:5" x14ac:dyDescent="0.55000000000000004">
      <c r="B33" s="11" t="s">
        <v>115</v>
      </c>
    </row>
    <row r="34" spans="2:5" x14ac:dyDescent="0.55000000000000004">
      <c r="C34" s="11" t="s">
        <v>116</v>
      </c>
      <c r="D34" s="11" t="s">
        <v>10</v>
      </c>
      <c r="E34" s="9">
        <v>0.12</v>
      </c>
    </row>
  </sheetData>
  <conditionalFormatting sqref="A1:XFD1048576">
    <cfRule type="expression" dxfId="3" priority="1">
      <formula>AND(A1&lt;&gt;"",A1=FALSE)</formula>
    </cfRule>
    <cfRule type="expression" dxfId="2" priority="2">
      <formula>A1=TRUE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CB92-D41A-4FEF-9AF4-1F9884D0782E}">
  <dimension ref="A1:ALR104"/>
  <sheetViews>
    <sheetView showGridLines="0" tabSelected="1" zoomScale="90" zoomScaleNormal="90" workbookViewId="0">
      <pane xSplit="7" ySplit="5" topLeftCell="H104" activePane="bottomRight" state="frozen"/>
      <selection pane="topRight" activeCell="G1" sqref="G1"/>
      <selection pane="bottomLeft" activeCell="A6" sqref="A6"/>
      <selection pane="bottomRight" activeCell="A122" sqref="A122"/>
    </sheetView>
  </sheetViews>
  <sheetFormatPr defaultColWidth="0" defaultRowHeight="14.4" outlineLevelRow="1" x14ac:dyDescent="0.55000000000000004"/>
  <cols>
    <col min="1" max="2" width="1.68359375" style="11" customWidth="1"/>
    <col min="3" max="3" width="26.15625" style="11" bestFit="1" customWidth="1"/>
    <col min="4" max="4" width="8.734375" style="11" customWidth="1"/>
    <col min="5" max="5" width="10.83984375" style="11" customWidth="1"/>
    <col min="6" max="6" width="13.3671875" style="11" customWidth="1"/>
    <col min="7" max="7" width="8.734375" style="11" customWidth="1"/>
    <col min="8" max="8" width="13.89453125" style="11" bestFit="1" customWidth="1"/>
    <col min="9" max="28" width="13.41796875" style="11" bestFit="1" customWidth="1"/>
    <col min="29" max="16384" width="8.734375" style="11" hidden="1"/>
  </cols>
  <sheetData>
    <row r="1" spans="1:1006" s="30" customFormat="1" x14ac:dyDescent="0.55000000000000004">
      <c r="F1" s="31" t="s">
        <v>81</v>
      </c>
    </row>
    <row r="2" spans="1:1006" s="30" customFormat="1" x14ac:dyDescent="0.55000000000000004">
      <c r="B2" s="30" t="s">
        <v>6</v>
      </c>
    </row>
    <row r="3" spans="1:1006" s="30" customFormat="1" outlineLevel="1" x14ac:dyDescent="0.55000000000000004">
      <c r="C3" s="30" t="s">
        <v>48</v>
      </c>
      <c r="H3" s="30">
        <v>0</v>
      </c>
      <c r="I3" s="30">
        <v>1</v>
      </c>
      <c r="J3" s="30">
        <v>2</v>
      </c>
      <c r="K3" s="30">
        <v>3</v>
      </c>
      <c r="L3" s="30">
        <v>4</v>
      </c>
      <c r="M3" s="30">
        <v>5</v>
      </c>
      <c r="N3" s="30">
        <v>6</v>
      </c>
      <c r="O3" s="30">
        <v>7</v>
      </c>
      <c r="P3" s="30">
        <v>8</v>
      </c>
      <c r="Q3" s="30">
        <v>9</v>
      </c>
      <c r="R3" s="30">
        <v>10</v>
      </c>
      <c r="S3" s="30">
        <v>11</v>
      </c>
      <c r="T3" s="30">
        <v>12</v>
      </c>
      <c r="U3" s="30">
        <v>13</v>
      </c>
      <c r="V3" s="30">
        <v>14</v>
      </c>
      <c r="W3" s="30">
        <v>15</v>
      </c>
      <c r="X3" s="30">
        <v>16</v>
      </c>
      <c r="Y3" s="30">
        <v>17</v>
      </c>
      <c r="Z3" s="30">
        <v>18</v>
      </c>
      <c r="AA3" s="30">
        <v>19</v>
      </c>
      <c r="AB3" s="30">
        <v>20</v>
      </c>
    </row>
    <row r="4" spans="1:1006" s="30" customFormat="1" outlineLevel="1" x14ac:dyDescent="0.55000000000000004">
      <c r="C4" s="30" t="s">
        <v>49</v>
      </c>
      <c r="D4" s="30" t="s">
        <v>51</v>
      </c>
      <c r="H4" s="30" t="b">
        <f>H3=0</f>
        <v>1</v>
      </c>
      <c r="I4" s="30" t="b">
        <f t="shared" ref="I4:AB4" si="0">I3=0</f>
        <v>0</v>
      </c>
      <c r="J4" s="30" t="b">
        <f t="shared" si="0"/>
        <v>0</v>
      </c>
      <c r="K4" s="30" t="b">
        <f t="shared" si="0"/>
        <v>0</v>
      </c>
      <c r="L4" s="30" t="b">
        <f t="shared" si="0"/>
        <v>0</v>
      </c>
      <c r="M4" s="30" t="b">
        <f t="shared" si="0"/>
        <v>0</v>
      </c>
      <c r="N4" s="30" t="b">
        <f t="shared" si="0"/>
        <v>0</v>
      </c>
      <c r="O4" s="30" t="b">
        <f t="shared" si="0"/>
        <v>0</v>
      </c>
      <c r="P4" s="30" t="b">
        <f t="shared" si="0"/>
        <v>0</v>
      </c>
      <c r="Q4" s="30" t="b">
        <f t="shared" si="0"/>
        <v>0</v>
      </c>
      <c r="R4" s="30" t="b">
        <f t="shared" si="0"/>
        <v>0</v>
      </c>
      <c r="S4" s="30" t="b">
        <f t="shared" si="0"/>
        <v>0</v>
      </c>
      <c r="T4" s="30" t="b">
        <f t="shared" si="0"/>
        <v>0</v>
      </c>
      <c r="U4" s="30" t="b">
        <f t="shared" si="0"/>
        <v>0</v>
      </c>
      <c r="V4" s="30" t="b">
        <f t="shared" si="0"/>
        <v>0</v>
      </c>
      <c r="W4" s="30" t="b">
        <f t="shared" si="0"/>
        <v>0</v>
      </c>
      <c r="X4" s="30" t="b">
        <f t="shared" si="0"/>
        <v>0</v>
      </c>
      <c r="Y4" s="30" t="b">
        <f t="shared" si="0"/>
        <v>0</v>
      </c>
      <c r="Z4" s="30" t="b">
        <f t="shared" si="0"/>
        <v>0</v>
      </c>
      <c r="AA4" s="30" t="b">
        <f t="shared" si="0"/>
        <v>0</v>
      </c>
      <c r="AB4" s="30" t="b">
        <f t="shared" si="0"/>
        <v>0</v>
      </c>
    </row>
    <row r="5" spans="1:1006" s="30" customFormat="1" outlineLevel="1" x14ac:dyDescent="0.55000000000000004">
      <c r="C5" s="30" t="s">
        <v>50</v>
      </c>
      <c r="D5" s="30" t="s">
        <v>51</v>
      </c>
      <c r="H5" s="30" t="b">
        <f>NOT(H4)</f>
        <v>0</v>
      </c>
      <c r="I5" s="30" t="b">
        <f t="shared" ref="I5:AB5" si="1">NOT(I4)</f>
        <v>1</v>
      </c>
      <c r="J5" s="30" t="b">
        <f t="shared" si="1"/>
        <v>1</v>
      </c>
      <c r="K5" s="30" t="b">
        <f t="shared" si="1"/>
        <v>1</v>
      </c>
      <c r="L5" s="30" t="b">
        <f t="shared" si="1"/>
        <v>1</v>
      </c>
      <c r="M5" s="30" t="b">
        <f t="shared" si="1"/>
        <v>1</v>
      </c>
      <c r="N5" s="30" t="b">
        <f t="shared" si="1"/>
        <v>1</v>
      </c>
      <c r="O5" s="30" t="b">
        <f t="shared" si="1"/>
        <v>1</v>
      </c>
      <c r="P5" s="30" t="b">
        <f t="shared" si="1"/>
        <v>1</v>
      </c>
      <c r="Q5" s="30" t="b">
        <f t="shared" si="1"/>
        <v>1</v>
      </c>
      <c r="R5" s="30" t="b">
        <f t="shared" si="1"/>
        <v>1</v>
      </c>
      <c r="S5" s="30" t="b">
        <f t="shared" si="1"/>
        <v>1</v>
      </c>
      <c r="T5" s="30" t="b">
        <f t="shared" si="1"/>
        <v>1</v>
      </c>
      <c r="U5" s="30" t="b">
        <f t="shared" si="1"/>
        <v>1</v>
      </c>
      <c r="V5" s="30" t="b">
        <f t="shared" si="1"/>
        <v>1</v>
      </c>
      <c r="W5" s="30" t="b">
        <f t="shared" si="1"/>
        <v>1</v>
      </c>
      <c r="X5" s="30" t="b">
        <f t="shared" si="1"/>
        <v>1</v>
      </c>
      <c r="Y5" s="30" t="b">
        <f t="shared" si="1"/>
        <v>1</v>
      </c>
      <c r="Z5" s="30" t="b">
        <f t="shared" si="1"/>
        <v>1</v>
      </c>
      <c r="AA5" s="30" t="b">
        <f t="shared" si="1"/>
        <v>1</v>
      </c>
      <c r="AB5" s="30" t="b">
        <f t="shared" si="1"/>
        <v>1</v>
      </c>
    </row>
    <row r="6" spans="1:1006" x14ac:dyDescent="0.55000000000000004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</row>
    <row r="7" spans="1:1006" outlineLevel="1" x14ac:dyDescent="0.55000000000000004">
      <c r="C7" s="11" t="s">
        <v>2</v>
      </c>
      <c r="D7" s="11" t="s">
        <v>4</v>
      </c>
      <c r="E7" s="23">
        <f>Input!E6</f>
        <v>25000</v>
      </c>
      <c r="F7" s="12"/>
      <c r="H7" s="32">
        <f>$E7*H$5</f>
        <v>0</v>
      </c>
      <c r="I7" s="32">
        <f t="shared" ref="I7:AB8" si="2">$E7*I$5</f>
        <v>25000</v>
      </c>
      <c r="J7" s="32">
        <f t="shared" si="2"/>
        <v>25000</v>
      </c>
      <c r="K7" s="32">
        <f t="shared" si="2"/>
        <v>25000</v>
      </c>
      <c r="L7" s="32">
        <f t="shared" si="2"/>
        <v>25000</v>
      </c>
      <c r="M7" s="32">
        <f t="shared" si="2"/>
        <v>25000</v>
      </c>
      <c r="N7" s="32">
        <f t="shared" si="2"/>
        <v>25000</v>
      </c>
      <c r="O7" s="32">
        <f t="shared" si="2"/>
        <v>25000</v>
      </c>
      <c r="P7" s="32">
        <f t="shared" si="2"/>
        <v>25000</v>
      </c>
      <c r="Q7" s="32">
        <f t="shared" si="2"/>
        <v>25000</v>
      </c>
      <c r="R7" s="32">
        <f t="shared" si="2"/>
        <v>25000</v>
      </c>
      <c r="S7" s="32">
        <f t="shared" si="2"/>
        <v>25000</v>
      </c>
      <c r="T7" s="32">
        <f t="shared" si="2"/>
        <v>25000</v>
      </c>
      <c r="U7" s="32">
        <f t="shared" si="2"/>
        <v>25000</v>
      </c>
      <c r="V7" s="32">
        <f t="shared" si="2"/>
        <v>25000</v>
      </c>
      <c r="W7" s="32">
        <f t="shared" si="2"/>
        <v>25000</v>
      </c>
      <c r="X7" s="32">
        <f t="shared" si="2"/>
        <v>25000</v>
      </c>
      <c r="Y7" s="32">
        <f t="shared" si="2"/>
        <v>25000</v>
      </c>
      <c r="Z7" s="32">
        <f t="shared" si="2"/>
        <v>25000</v>
      </c>
      <c r="AA7" s="32">
        <f t="shared" si="2"/>
        <v>25000</v>
      </c>
      <c r="AB7" s="32">
        <f t="shared" si="2"/>
        <v>25000</v>
      </c>
    </row>
    <row r="8" spans="1:1006" outlineLevel="1" x14ac:dyDescent="0.55000000000000004">
      <c r="C8" s="11" t="s">
        <v>3</v>
      </c>
      <c r="D8" s="11" t="s">
        <v>15</v>
      </c>
      <c r="E8" s="23">
        <f>Input!E7</f>
        <v>2000</v>
      </c>
      <c r="F8" s="12"/>
      <c r="H8" s="32">
        <f>$E8*H$5</f>
        <v>0</v>
      </c>
      <c r="I8" s="32">
        <f t="shared" si="2"/>
        <v>2000</v>
      </c>
      <c r="J8" s="32">
        <f t="shared" si="2"/>
        <v>2000</v>
      </c>
      <c r="K8" s="32">
        <f t="shared" si="2"/>
        <v>2000</v>
      </c>
      <c r="L8" s="32">
        <f t="shared" si="2"/>
        <v>2000</v>
      </c>
      <c r="M8" s="32">
        <f t="shared" si="2"/>
        <v>2000</v>
      </c>
      <c r="N8" s="32">
        <f t="shared" si="2"/>
        <v>2000</v>
      </c>
      <c r="O8" s="32">
        <f t="shared" si="2"/>
        <v>2000</v>
      </c>
      <c r="P8" s="32">
        <f t="shared" si="2"/>
        <v>2000</v>
      </c>
      <c r="Q8" s="32">
        <f t="shared" si="2"/>
        <v>2000</v>
      </c>
      <c r="R8" s="32">
        <f t="shared" si="2"/>
        <v>2000</v>
      </c>
      <c r="S8" s="32">
        <f t="shared" si="2"/>
        <v>2000</v>
      </c>
      <c r="T8" s="32">
        <f t="shared" si="2"/>
        <v>2000</v>
      </c>
      <c r="U8" s="32">
        <f t="shared" si="2"/>
        <v>2000</v>
      </c>
      <c r="V8" s="32">
        <f t="shared" si="2"/>
        <v>2000</v>
      </c>
      <c r="W8" s="32">
        <f t="shared" si="2"/>
        <v>2000</v>
      </c>
      <c r="X8" s="32">
        <f t="shared" si="2"/>
        <v>2000</v>
      </c>
      <c r="Y8" s="32">
        <f t="shared" si="2"/>
        <v>2000</v>
      </c>
      <c r="Z8" s="32">
        <f t="shared" si="2"/>
        <v>2000</v>
      </c>
      <c r="AA8" s="32">
        <f t="shared" si="2"/>
        <v>2000</v>
      </c>
      <c r="AB8" s="32">
        <f t="shared" si="2"/>
        <v>2000</v>
      </c>
    </row>
    <row r="9" spans="1:1006" outlineLevel="1" x14ac:dyDescent="0.55000000000000004">
      <c r="C9" s="11" t="s">
        <v>13</v>
      </c>
      <c r="D9" s="11" t="s">
        <v>16</v>
      </c>
      <c r="H9" s="32">
        <f>H7*H8</f>
        <v>0</v>
      </c>
      <c r="I9" s="32">
        <f t="shared" ref="I9:AB9" si="3">I7*I8</f>
        <v>50000000</v>
      </c>
      <c r="J9" s="32">
        <f t="shared" si="3"/>
        <v>50000000</v>
      </c>
      <c r="K9" s="32">
        <f t="shared" si="3"/>
        <v>50000000</v>
      </c>
      <c r="L9" s="32">
        <f t="shared" si="3"/>
        <v>50000000</v>
      </c>
      <c r="M9" s="32">
        <f t="shared" si="3"/>
        <v>50000000</v>
      </c>
      <c r="N9" s="32">
        <f t="shared" si="3"/>
        <v>50000000</v>
      </c>
      <c r="O9" s="32">
        <f t="shared" si="3"/>
        <v>50000000</v>
      </c>
      <c r="P9" s="32">
        <f t="shared" si="3"/>
        <v>50000000</v>
      </c>
      <c r="Q9" s="32">
        <f t="shared" si="3"/>
        <v>50000000</v>
      </c>
      <c r="R9" s="32">
        <f t="shared" si="3"/>
        <v>50000000</v>
      </c>
      <c r="S9" s="32">
        <f t="shared" si="3"/>
        <v>50000000</v>
      </c>
      <c r="T9" s="32">
        <f t="shared" si="3"/>
        <v>50000000</v>
      </c>
      <c r="U9" s="32">
        <f t="shared" si="3"/>
        <v>50000000</v>
      </c>
      <c r="V9" s="32">
        <f t="shared" si="3"/>
        <v>50000000</v>
      </c>
      <c r="W9" s="32">
        <f t="shared" si="3"/>
        <v>50000000</v>
      </c>
      <c r="X9" s="32">
        <f t="shared" si="3"/>
        <v>50000000</v>
      </c>
      <c r="Y9" s="32">
        <f t="shared" si="3"/>
        <v>50000000</v>
      </c>
      <c r="Z9" s="32">
        <f t="shared" si="3"/>
        <v>50000000</v>
      </c>
      <c r="AA9" s="32">
        <f t="shared" si="3"/>
        <v>50000000</v>
      </c>
      <c r="AB9" s="32">
        <f t="shared" si="3"/>
        <v>50000000</v>
      </c>
    </row>
    <row r="10" spans="1:1006" outlineLevel="1" x14ac:dyDescent="0.55000000000000004">
      <c r="C10" s="11" t="s">
        <v>9</v>
      </c>
      <c r="D10" s="11" t="s">
        <v>10</v>
      </c>
      <c r="E10" s="24">
        <f>Input!E8</f>
        <v>5.0000000000000001E-3</v>
      </c>
      <c r="F10" s="13"/>
      <c r="H10" s="33">
        <f>$E10*H$5</f>
        <v>0</v>
      </c>
      <c r="I10" s="33">
        <f t="shared" ref="I10:AB10" si="4">$E10*I$5</f>
        <v>5.0000000000000001E-3</v>
      </c>
      <c r="J10" s="33">
        <f t="shared" si="4"/>
        <v>5.0000000000000001E-3</v>
      </c>
      <c r="K10" s="33">
        <f t="shared" si="4"/>
        <v>5.0000000000000001E-3</v>
      </c>
      <c r="L10" s="33">
        <f t="shared" si="4"/>
        <v>5.0000000000000001E-3</v>
      </c>
      <c r="M10" s="33">
        <f t="shared" si="4"/>
        <v>5.0000000000000001E-3</v>
      </c>
      <c r="N10" s="33">
        <f t="shared" si="4"/>
        <v>5.0000000000000001E-3</v>
      </c>
      <c r="O10" s="33">
        <f t="shared" si="4"/>
        <v>5.0000000000000001E-3</v>
      </c>
      <c r="P10" s="33">
        <f t="shared" si="4"/>
        <v>5.0000000000000001E-3</v>
      </c>
      <c r="Q10" s="33">
        <f t="shared" si="4"/>
        <v>5.0000000000000001E-3</v>
      </c>
      <c r="R10" s="33">
        <f t="shared" si="4"/>
        <v>5.0000000000000001E-3</v>
      </c>
      <c r="S10" s="33">
        <f t="shared" si="4"/>
        <v>5.0000000000000001E-3</v>
      </c>
      <c r="T10" s="33">
        <f t="shared" si="4"/>
        <v>5.0000000000000001E-3</v>
      </c>
      <c r="U10" s="33">
        <f t="shared" si="4"/>
        <v>5.0000000000000001E-3</v>
      </c>
      <c r="V10" s="33">
        <f t="shared" si="4"/>
        <v>5.0000000000000001E-3</v>
      </c>
      <c r="W10" s="33">
        <f t="shared" si="4"/>
        <v>5.0000000000000001E-3</v>
      </c>
      <c r="X10" s="33">
        <f t="shared" si="4"/>
        <v>5.0000000000000001E-3</v>
      </c>
      <c r="Y10" s="33">
        <f t="shared" si="4"/>
        <v>5.0000000000000001E-3</v>
      </c>
      <c r="Z10" s="33">
        <f t="shared" si="4"/>
        <v>5.0000000000000001E-3</v>
      </c>
      <c r="AA10" s="33">
        <f t="shared" si="4"/>
        <v>5.0000000000000001E-3</v>
      </c>
      <c r="AB10" s="33">
        <f t="shared" si="4"/>
        <v>5.0000000000000001E-3</v>
      </c>
    </row>
    <row r="11" spans="1:1006" outlineLevel="1" x14ac:dyDescent="0.55000000000000004">
      <c r="C11" s="11" t="s">
        <v>12</v>
      </c>
      <c r="D11" s="11" t="s">
        <v>17</v>
      </c>
      <c r="G11" s="6">
        <v>1</v>
      </c>
      <c r="H11" s="34">
        <f t="shared" ref="H11:AB11" si="5">G11*(1-H10*H5)</f>
        <v>1</v>
      </c>
      <c r="I11" s="34">
        <f t="shared" si="5"/>
        <v>0.995</v>
      </c>
      <c r="J11" s="34">
        <f t="shared" si="5"/>
        <v>0.99002500000000004</v>
      </c>
      <c r="K11" s="34">
        <f t="shared" si="5"/>
        <v>0.98507487500000002</v>
      </c>
      <c r="L11" s="34">
        <f t="shared" si="5"/>
        <v>0.98014950062500006</v>
      </c>
      <c r="M11" s="34">
        <f t="shared" si="5"/>
        <v>0.97524875312187509</v>
      </c>
      <c r="N11" s="34">
        <f t="shared" si="5"/>
        <v>0.97037250935626573</v>
      </c>
      <c r="O11" s="34">
        <f t="shared" si="5"/>
        <v>0.96552064680948435</v>
      </c>
      <c r="P11" s="34">
        <f t="shared" si="5"/>
        <v>0.96069304357543694</v>
      </c>
      <c r="Q11" s="34">
        <f t="shared" si="5"/>
        <v>0.95588957835755972</v>
      </c>
      <c r="R11" s="34">
        <f t="shared" si="5"/>
        <v>0.95111013046577186</v>
      </c>
      <c r="S11" s="34">
        <f t="shared" si="5"/>
        <v>0.94635457981344295</v>
      </c>
      <c r="T11" s="34">
        <f t="shared" si="5"/>
        <v>0.94162280691437572</v>
      </c>
      <c r="U11" s="34">
        <f t="shared" si="5"/>
        <v>0.93691469287980389</v>
      </c>
      <c r="V11" s="34">
        <f t="shared" si="5"/>
        <v>0.9322301194154049</v>
      </c>
      <c r="W11" s="34">
        <f t="shared" si="5"/>
        <v>0.92756896881832784</v>
      </c>
      <c r="X11" s="34">
        <f t="shared" si="5"/>
        <v>0.92293112397423616</v>
      </c>
      <c r="Y11" s="34">
        <f t="shared" si="5"/>
        <v>0.91831646835436498</v>
      </c>
      <c r="Z11" s="34">
        <f t="shared" si="5"/>
        <v>0.91372488601259316</v>
      </c>
      <c r="AA11" s="34">
        <f t="shared" si="5"/>
        <v>0.90915626158253016</v>
      </c>
      <c r="AB11" s="34">
        <f t="shared" si="5"/>
        <v>0.90461048027461755</v>
      </c>
    </row>
    <row r="12" spans="1:1006" outlineLevel="1" x14ac:dyDescent="0.55000000000000004"/>
    <row r="13" spans="1:1006" ht="14.7" outlineLevel="1" thickBot="1" x14ac:dyDescent="0.6">
      <c r="A13" s="11" t="s">
        <v>8</v>
      </c>
      <c r="C13" s="35" t="s">
        <v>14</v>
      </c>
      <c r="D13" s="35" t="s">
        <v>16</v>
      </c>
      <c r="E13" s="35"/>
      <c r="F13" s="18">
        <f>SUM(H13:XFD13)</f>
        <v>949125721.2675544</v>
      </c>
      <c r="G13" s="35"/>
      <c r="H13" s="35">
        <f>H9*H11</f>
        <v>0</v>
      </c>
      <c r="I13" s="35">
        <f t="shared" ref="I13:AB13" si="6">I9*I11</f>
        <v>49750000</v>
      </c>
      <c r="J13" s="35">
        <f t="shared" si="6"/>
        <v>49501250</v>
      </c>
      <c r="K13" s="35">
        <f t="shared" si="6"/>
        <v>49253743.75</v>
      </c>
      <c r="L13" s="35">
        <f t="shared" si="6"/>
        <v>49007475.03125</v>
      </c>
      <c r="M13" s="35">
        <f t="shared" si="6"/>
        <v>48762437.656093754</v>
      </c>
      <c r="N13" s="35">
        <f t="shared" si="6"/>
        <v>48518625.467813283</v>
      </c>
      <c r="O13" s="35">
        <f t="shared" si="6"/>
        <v>48276032.340474218</v>
      </c>
      <c r="P13" s="35">
        <f t="shared" si="6"/>
        <v>48034652.178771846</v>
      </c>
      <c r="Q13" s="35">
        <f t="shared" si="6"/>
        <v>47794478.917877987</v>
      </c>
      <c r="R13" s="35">
        <f t="shared" si="6"/>
        <v>47555506.523288593</v>
      </c>
      <c r="S13" s="35">
        <f t="shared" si="6"/>
        <v>47317728.990672149</v>
      </c>
      <c r="T13" s="35">
        <f t="shared" si="6"/>
        <v>47081140.345718786</v>
      </c>
      <c r="U13" s="35">
        <f t="shared" si="6"/>
        <v>46845734.643990196</v>
      </c>
      <c r="V13" s="35">
        <f t="shared" si="6"/>
        <v>46611505.970770247</v>
      </c>
      <c r="W13" s="35">
        <f t="shared" si="6"/>
        <v>46378448.440916389</v>
      </c>
      <c r="X13" s="35">
        <f t="shared" si="6"/>
        <v>46146556.198711805</v>
      </c>
      <c r="Y13" s="35">
        <f t="shared" si="6"/>
        <v>45915823.417718247</v>
      </c>
      <c r="Z13" s="35">
        <f t="shared" si="6"/>
        <v>45686244.30062966</v>
      </c>
      <c r="AA13" s="35">
        <f t="shared" si="6"/>
        <v>45457813.079126507</v>
      </c>
      <c r="AB13" s="35">
        <f t="shared" si="6"/>
        <v>45230524.013730876</v>
      </c>
    </row>
    <row r="14" spans="1:1006" ht="14.7" outlineLevel="1" thickTop="1" x14ac:dyDescent="0.55000000000000004"/>
    <row r="15" spans="1:1006" x14ac:dyDescent="0.55000000000000004">
      <c r="B15" s="16" t="s">
        <v>52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</row>
    <row r="16" spans="1:1006" outlineLevel="1" x14ac:dyDescent="0.55000000000000004">
      <c r="C16" s="11" t="s">
        <v>53</v>
      </c>
      <c r="D16" s="11" t="s">
        <v>20</v>
      </c>
      <c r="E16" s="25">
        <f>Input!E11</f>
        <v>130</v>
      </c>
      <c r="H16" s="34">
        <f t="shared" ref="H16:AB16" si="7">$E$16*H5</f>
        <v>0</v>
      </c>
      <c r="I16" s="34">
        <f t="shared" si="7"/>
        <v>130</v>
      </c>
      <c r="J16" s="34">
        <f t="shared" si="7"/>
        <v>130</v>
      </c>
      <c r="K16" s="34">
        <f t="shared" si="7"/>
        <v>130</v>
      </c>
      <c r="L16" s="34">
        <f t="shared" si="7"/>
        <v>130</v>
      </c>
      <c r="M16" s="34">
        <f t="shared" si="7"/>
        <v>130</v>
      </c>
      <c r="N16" s="34">
        <f t="shared" si="7"/>
        <v>130</v>
      </c>
      <c r="O16" s="34">
        <f t="shared" si="7"/>
        <v>130</v>
      </c>
      <c r="P16" s="34">
        <f t="shared" si="7"/>
        <v>130</v>
      </c>
      <c r="Q16" s="34">
        <f t="shared" si="7"/>
        <v>130</v>
      </c>
      <c r="R16" s="34">
        <f t="shared" si="7"/>
        <v>130</v>
      </c>
      <c r="S16" s="34">
        <f t="shared" si="7"/>
        <v>130</v>
      </c>
      <c r="T16" s="34">
        <f t="shared" si="7"/>
        <v>130</v>
      </c>
      <c r="U16" s="34">
        <f t="shared" si="7"/>
        <v>130</v>
      </c>
      <c r="V16" s="34">
        <f t="shared" si="7"/>
        <v>130</v>
      </c>
      <c r="W16" s="34">
        <f t="shared" si="7"/>
        <v>130</v>
      </c>
      <c r="X16" s="34">
        <f t="shared" si="7"/>
        <v>130</v>
      </c>
      <c r="Y16" s="34">
        <f t="shared" si="7"/>
        <v>130</v>
      </c>
      <c r="Z16" s="34">
        <f t="shared" si="7"/>
        <v>130</v>
      </c>
      <c r="AA16" s="34">
        <f t="shared" si="7"/>
        <v>130</v>
      </c>
      <c r="AB16" s="34">
        <f t="shared" si="7"/>
        <v>130</v>
      </c>
    </row>
    <row r="17" spans="2:1006" outlineLevel="1" x14ac:dyDescent="0.55000000000000004">
      <c r="C17" s="11" t="s">
        <v>54</v>
      </c>
      <c r="D17" s="11" t="s">
        <v>10</v>
      </c>
      <c r="E17" s="24">
        <f>Input!E12</f>
        <v>2.5000000000000001E-2</v>
      </c>
      <c r="F17" s="13"/>
      <c r="H17" s="13">
        <f t="shared" ref="H17:AB17" si="8">H5*$E$17</f>
        <v>0</v>
      </c>
      <c r="I17" s="13">
        <f t="shared" si="8"/>
        <v>2.5000000000000001E-2</v>
      </c>
      <c r="J17" s="13">
        <f t="shared" si="8"/>
        <v>2.5000000000000001E-2</v>
      </c>
      <c r="K17" s="13">
        <f t="shared" si="8"/>
        <v>2.5000000000000001E-2</v>
      </c>
      <c r="L17" s="13">
        <f t="shared" si="8"/>
        <v>2.5000000000000001E-2</v>
      </c>
      <c r="M17" s="13">
        <f t="shared" si="8"/>
        <v>2.5000000000000001E-2</v>
      </c>
      <c r="N17" s="13">
        <f t="shared" si="8"/>
        <v>2.5000000000000001E-2</v>
      </c>
      <c r="O17" s="13">
        <f t="shared" si="8"/>
        <v>2.5000000000000001E-2</v>
      </c>
      <c r="P17" s="13">
        <f t="shared" si="8"/>
        <v>2.5000000000000001E-2</v>
      </c>
      <c r="Q17" s="13">
        <f t="shared" si="8"/>
        <v>2.5000000000000001E-2</v>
      </c>
      <c r="R17" s="13">
        <f t="shared" si="8"/>
        <v>2.5000000000000001E-2</v>
      </c>
      <c r="S17" s="13">
        <f t="shared" si="8"/>
        <v>2.5000000000000001E-2</v>
      </c>
      <c r="T17" s="13">
        <f t="shared" si="8"/>
        <v>2.5000000000000001E-2</v>
      </c>
      <c r="U17" s="13">
        <f t="shared" si="8"/>
        <v>2.5000000000000001E-2</v>
      </c>
      <c r="V17" s="13">
        <f t="shared" si="8"/>
        <v>2.5000000000000001E-2</v>
      </c>
      <c r="W17" s="13">
        <f t="shared" si="8"/>
        <v>2.5000000000000001E-2</v>
      </c>
      <c r="X17" s="13">
        <f t="shared" si="8"/>
        <v>2.5000000000000001E-2</v>
      </c>
      <c r="Y17" s="13">
        <f t="shared" si="8"/>
        <v>2.5000000000000001E-2</v>
      </c>
      <c r="Z17" s="13">
        <f t="shared" si="8"/>
        <v>2.5000000000000001E-2</v>
      </c>
      <c r="AA17" s="13">
        <f t="shared" si="8"/>
        <v>2.5000000000000001E-2</v>
      </c>
      <c r="AB17" s="13">
        <f t="shared" si="8"/>
        <v>2.5000000000000001E-2</v>
      </c>
    </row>
    <row r="18" spans="2:1006" outlineLevel="1" x14ac:dyDescent="0.55000000000000004">
      <c r="C18" s="11" t="s">
        <v>55</v>
      </c>
      <c r="D18" s="11" t="s">
        <v>17</v>
      </c>
      <c r="G18" s="17">
        <v>1</v>
      </c>
      <c r="H18" s="34">
        <f t="shared" ref="H18:AB18" si="9">G18*(1+H17*H5)</f>
        <v>1</v>
      </c>
      <c r="I18" s="34">
        <f t="shared" si="9"/>
        <v>1.0249999999999999</v>
      </c>
      <c r="J18" s="34">
        <f t="shared" si="9"/>
        <v>1.0506249999999999</v>
      </c>
      <c r="K18" s="34">
        <f t="shared" si="9"/>
        <v>1.0768906249999999</v>
      </c>
      <c r="L18" s="34">
        <f t="shared" si="9"/>
        <v>1.1038128906249998</v>
      </c>
      <c r="M18" s="34">
        <f t="shared" si="9"/>
        <v>1.1314082128906247</v>
      </c>
      <c r="N18" s="34">
        <f t="shared" si="9"/>
        <v>1.1596934182128902</v>
      </c>
      <c r="O18" s="34">
        <f t="shared" si="9"/>
        <v>1.1886857536682123</v>
      </c>
      <c r="P18" s="34">
        <f t="shared" si="9"/>
        <v>1.2184028975099175</v>
      </c>
      <c r="Q18" s="34">
        <f t="shared" si="9"/>
        <v>1.2488629699476652</v>
      </c>
      <c r="R18" s="34">
        <f t="shared" si="9"/>
        <v>1.2800845441963566</v>
      </c>
      <c r="S18" s="34">
        <f t="shared" si="9"/>
        <v>1.3120866578012655</v>
      </c>
      <c r="T18" s="34">
        <f t="shared" si="9"/>
        <v>1.3448888242462971</v>
      </c>
      <c r="U18" s="34">
        <f t="shared" si="9"/>
        <v>1.3785110448524545</v>
      </c>
      <c r="V18" s="34">
        <f t="shared" si="9"/>
        <v>1.4129738209737657</v>
      </c>
      <c r="W18" s="34">
        <f t="shared" si="9"/>
        <v>1.4482981664981096</v>
      </c>
      <c r="X18" s="34">
        <f t="shared" si="9"/>
        <v>1.4845056206605622</v>
      </c>
      <c r="Y18" s="34">
        <f t="shared" si="9"/>
        <v>1.5216182611770761</v>
      </c>
      <c r="Z18" s="34">
        <f t="shared" si="9"/>
        <v>1.5596587177065029</v>
      </c>
      <c r="AA18" s="34">
        <f t="shared" si="9"/>
        <v>1.5986501856491653</v>
      </c>
      <c r="AB18" s="34">
        <f t="shared" si="9"/>
        <v>1.6386164402903942</v>
      </c>
    </row>
    <row r="19" spans="2:1006" outlineLevel="1" x14ac:dyDescent="0.55000000000000004">
      <c r="C19" s="11" t="s">
        <v>56</v>
      </c>
      <c r="D19" s="11" t="s">
        <v>20</v>
      </c>
      <c r="H19" s="34">
        <f>H16*H18</f>
        <v>0</v>
      </c>
      <c r="I19" s="34">
        <f t="shared" ref="I19:AB19" si="10">I16*I18</f>
        <v>133.25</v>
      </c>
      <c r="J19" s="34">
        <f t="shared" si="10"/>
        <v>136.58124999999998</v>
      </c>
      <c r="K19" s="34">
        <f t="shared" si="10"/>
        <v>139.99578124999999</v>
      </c>
      <c r="L19" s="34">
        <f t="shared" si="10"/>
        <v>143.49567578124996</v>
      </c>
      <c r="M19" s="34">
        <f t="shared" si="10"/>
        <v>147.08306767578119</v>
      </c>
      <c r="N19" s="34">
        <f t="shared" si="10"/>
        <v>150.76014436767574</v>
      </c>
      <c r="O19" s="34">
        <f t="shared" si="10"/>
        <v>154.52914797686759</v>
      </c>
      <c r="P19" s="34">
        <f t="shared" si="10"/>
        <v>158.39237667628927</v>
      </c>
      <c r="Q19" s="34">
        <f t="shared" si="10"/>
        <v>162.35218609319648</v>
      </c>
      <c r="R19" s="34">
        <f t="shared" si="10"/>
        <v>166.41099074552636</v>
      </c>
      <c r="S19" s="34">
        <f t="shared" si="10"/>
        <v>170.57126551416451</v>
      </c>
      <c r="T19" s="34">
        <f t="shared" si="10"/>
        <v>174.83554715201862</v>
      </c>
      <c r="U19" s="34">
        <f t="shared" si="10"/>
        <v>179.20643583081909</v>
      </c>
      <c r="V19" s="34">
        <f t="shared" si="10"/>
        <v>183.68659672658953</v>
      </c>
      <c r="W19" s="34">
        <f t="shared" si="10"/>
        <v>188.27876164475424</v>
      </c>
      <c r="X19" s="34">
        <f t="shared" si="10"/>
        <v>192.98573068587308</v>
      </c>
      <c r="Y19" s="34">
        <f t="shared" si="10"/>
        <v>197.81037395301991</v>
      </c>
      <c r="Z19" s="34">
        <f t="shared" si="10"/>
        <v>202.75563330184536</v>
      </c>
      <c r="AA19" s="34">
        <f t="shared" si="10"/>
        <v>207.82452413439148</v>
      </c>
      <c r="AB19" s="34">
        <f t="shared" si="10"/>
        <v>213.02013723775124</v>
      </c>
    </row>
    <row r="20" spans="2:1006" outlineLevel="1" x14ac:dyDescent="0.55000000000000004"/>
    <row r="21" spans="2:1006" outlineLevel="1" x14ac:dyDescent="0.55000000000000004">
      <c r="C21" s="11" t="s">
        <v>7</v>
      </c>
      <c r="D21" s="11" t="s">
        <v>57</v>
      </c>
      <c r="E21" s="6">
        <v>1E-3</v>
      </c>
      <c r="H21" s="32">
        <f t="shared" ref="H21:AB21" si="11">$E$21*H13</f>
        <v>0</v>
      </c>
      <c r="I21" s="32">
        <f t="shared" si="11"/>
        <v>49750</v>
      </c>
      <c r="J21" s="32">
        <f t="shared" si="11"/>
        <v>49501.25</v>
      </c>
      <c r="K21" s="32">
        <f t="shared" si="11"/>
        <v>49253.743750000001</v>
      </c>
      <c r="L21" s="32">
        <f t="shared" si="11"/>
        <v>49007.475031250004</v>
      </c>
      <c r="M21" s="32">
        <f t="shared" si="11"/>
        <v>48762.437656093753</v>
      </c>
      <c r="N21" s="32">
        <f t="shared" si="11"/>
        <v>48518.625467813283</v>
      </c>
      <c r="O21" s="32">
        <f t="shared" si="11"/>
        <v>48276.032340474216</v>
      </c>
      <c r="P21" s="32">
        <f t="shared" si="11"/>
        <v>48034.652178771845</v>
      </c>
      <c r="Q21" s="32">
        <f t="shared" si="11"/>
        <v>47794.47891787799</v>
      </c>
      <c r="R21" s="32">
        <f t="shared" si="11"/>
        <v>47555.506523288597</v>
      </c>
      <c r="S21" s="32">
        <f t="shared" si="11"/>
        <v>47317.728990672149</v>
      </c>
      <c r="T21" s="32">
        <f t="shared" si="11"/>
        <v>47081.140345718784</v>
      </c>
      <c r="U21" s="32">
        <f t="shared" si="11"/>
        <v>46845.734643990196</v>
      </c>
      <c r="V21" s="32">
        <f t="shared" si="11"/>
        <v>46611.505970770246</v>
      </c>
      <c r="W21" s="32">
        <f t="shared" si="11"/>
        <v>46378.448440916392</v>
      </c>
      <c r="X21" s="32">
        <f t="shared" si="11"/>
        <v>46146.556198711805</v>
      </c>
      <c r="Y21" s="32">
        <f t="shared" si="11"/>
        <v>45915.823417718246</v>
      </c>
      <c r="Z21" s="32">
        <f t="shared" si="11"/>
        <v>45686.24430062966</v>
      </c>
      <c r="AA21" s="32">
        <f t="shared" si="11"/>
        <v>45457.813079126507</v>
      </c>
      <c r="AB21" s="32">
        <f t="shared" si="11"/>
        <v>45230.524013730879</v>
      </c>
    </row>
    <row r="22" spans="2:1006" outlineLevel="1" x14ac:dyDescent="0.55000000000000004">
      <c r="C22" s="36" t="s">
        <v>58</v>
      </c>
      <c r="D22" s="36" t="s">
        <v>26</v>
      </c>
      <c r="E22" s="36"/>
      <c r="F22" s="19">
        <f>SUM(H22:AB22)</f>
        <v>160871487.03602943</v>
      </c>
      <c r="G22" s="36"/>
      <c r="H22" s="37">
        <f>H21*H19</f>
        <v>0</v>
      </c>
      <c r="I22" s="37">
        <f t="shared" ref="I22:AB22" si="12">I21*I19</f>
        <v>6629187.5</v>
      </c>
      <c r="J22" s="37">
        <f t="shared" si="12"/>
        <v>6760942.6015624991</v>
      </c>
      <c r="K22" s="37">
        <f t="shared" si="12"/>
        <v>6895316.3357685544</v>
      </c>
      <c r="L22" s="37">
        <f t="shared" si="12"/>
        <v>7032360.7479419531</v>
      </c>
      <c r="M22" s="37">
        <f t="shared" si="12"/>
        <v>7172128.9178072987</v>
      </c>
      <c r="N22" s="37">
        <f t="shared" si="12"/>
        <v>7314674.9800487189</v>
      </c>
      <c r="O22" s="37">
        <f t="shared" si="12"/>
        <v>7460054.1452771854</v>
      </c>
      <c r="P22" s="37">
        <f t="shared" si="12"/>
        <v>7608322.7214145698</v>
      </c>
      <c r="Q22" s="37">
        <f t="shared" si="12"/>
        <v>7759538.135502683</v>
      </c>
      <c r="R22" s="37">
        <f t="shared" si="12"/>
        <v>7913758.9559457973</v>
      </c>
      <c r="S22" s="37">
        <f t="shared" si="12"/>
        <v>8071044.9151952183</v>
      </c>
      <c r="T22" s="37">
        <f t="shared" si="12"/>
        <v>8231456.9328847229</v>
      </c>
      <c r="U22" s="37">
        <f t="shared" si="12"/>
        <v>8395057.1394258086</v>
      </c>
      <c r="V22" s="37">
        <f t="shared" si="12"/>
        <v>8561908.9000718947</v>
      </c>
      <c r="W22" s="37">
        <f t="shared" si="12"/>
        <v>8732076.8394608218</v>
      </c>
      <c r="X22" s="37">
        <f t="shared" si="12"/>
        <v>8905626.8666451033</v>
      </c>
      <c r="Y22" s="37">
        <f t="shared" si="12"/>
        <v>9082626.2006196752</v>
      </c>
      <c r="Z22" s="37">
        <f t="shared" si="12"/>
        <v>9263143.3963569906</v>
      </c>
      <c r="AA22" s="37">
        <f t="shared" si="12"/>
        <v>9447248.371359583</v>
      </c>
      <c r="AB22" s="37">
        <f t="shared" si="12"/>
        <v>9635012.4327403549</v>
      </c>
    </row>
    <row r="23" spans="2:1006" outlineLevel="1" x14ac:dyDescent="0.55000000000000004"/>
    <row r="24" spans="2:1006" x14ac:dyDescent="0.55000000000000004">
      <c r="B24" s="16" t="s">
        <v>59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</row>
    <row r="25" spans="2:1006" outlineLevel="1" x14ac:dyDescent="0.55000000000000004">
      <c r="C25" s="11" t="s">
        <v>66</v>
      </c>
      <c r="D25" s="11" t="s">
        <v>24</v>
      </c>
      <c r="E25" s="26">
        <f>Input!E15</f>
        <v>1.4999999999999999E-2</v>
      </c>
      <c r="H25" s="11">
        <f t="shared" ref="H25:AB25" si="13">$E$25*H5</f>
        <v>0</v>
      </c>
      <c r="I25" s="11">
        <f t="shared" si="13"/>
        <v>1.4999999999999999E-2</v>
      </c>
      <c r="J25" s="11">
        <f t="shared" si="13"/>
        <v>1.4999999999999999E-2</v>
      </c>
      <c r="K25" s="11">
        <f t="shared" si="13"/>
        <v>1.4999999999999999E-2</v>
      </c>
      <c r="L25" s="11">
        <f t="shared" si="13"/>
        <v>1.4999999999999999E-2</v>
      </c>
      <c r="M25" s="11">
        <f t="shared" si="13"/>
        <v>1.4999999999999999E-2</v>
      </c>
      <c r="N25" s="11">
        <f t="shared" si="13"/>
        <v>1.4999999999999999E-2</v>
      </c>
      <c r="O25" s="11">
        <f t="shared" si="13"/>
        <v>1.4999999999999999E-2</v>
      </c>
      <c r="P25" s="11">
        <f t="shared" si="13"/>
        <v>1.4999999999999999E-2</v>
      </c>
      <c r="Q25" s="11">
        <f t="shared" si="13"/>
        <v>1.4999999999999999E-2</v>
      </c>
      <c r="R25" s="11">
        <f t="shared" si="13"/>
        <v>1.4999999999999999E-2</v>
      </c>
      <c r="S25" s="11">
        <f t="shared" si="13"/>
        <v>1.4999999999999999E-2</v>
      </c>
      <c r="T25" s="11">
        <f t="shared" si="13"/>
        <v>1.4999999999999999E-2</v>
      </c>
      <c r="U25" s="11">
        <f t="shared" si="13"/>
        <v>1.4999999999999999E-2</v>
      </c>
      <c r="V25" s="11">
        <f t="shared" si="13"/>
        <v>1.4999999999999999E-2</v>
      </c>
      <c r="W25" s="11">
        <f t="shared" si="13"/>
        <v>1.4999999999999999E-2</v>
      </c>
      <c r="X25" s="11">
        <f t="shared" si="13"/>
        <v>1.4999999999999999E-2</v>
      </c>
      <c r="Y25" s="11">
        <f t="shared" si="13"/>
        <v>1.4999999999999999E-2</v>
      </c>
      <c r="Z25" s="11">
        <f t="shared" si="13"/>
        <v>1.4999999999999999E-2</v>
      </c>
      <c r="AA25" s="11">
        <f t="shared" si="13"/>
        <v>1.4999999999999999E-2</v>
      </c>
      <c r="AB25" s="11">
        <f t="shared" si="13"/>
        <v>1.4999999999999999E-2</v>
      </c>
    </row>
    <row r="26" spans="2:1006" outlineLevel="1" x14ac:dyDescent="0.55000000000000004">
      <c r="C26" s="11" t="s">
        <v>21</v>
      </c>
      <c r="D26" s="14" t="s">
        <v>10</v>
      </c>
      <c r="E26" s="27">
        <f>Input!E16</f>
        <v>0.02</v>
      </c>
      <c r="F26" s="14"/>
      <c r="H26" s="14">
        <f t="shared" ref="H26:AB26" si="14">$E$26*H5</f>
        <v>0</v>
      </c>
      <c r="I26" s="14">
        <f t="shared" si="14"/>
        <v>0.02</v>
      </c>
      <c r="J26" s="14">
        <f t="shared" si="14"/>
        <v>0.02</v>
      </c>
      <c r="K26" s="14">
        <f t="shared" si="14"/>
        <v>0.02</v>
      </c>
      <c r="L26" s="14">
        <f t="shared" si="14"/>
        <v>0.02</v>
      </c>
      <c r="M26" s="14">
        <f t="shared" si="14"/>
        <v>0.02</v>
      </c>
      <c r="N26" s="14">
        <f t="shared" si="14"/>
        <v>0.02</v>
      </c>
      <c r="O26" s="14">
        <f t="shared" si="14"/>
        <v>0.02</v>
      </c>
      <c r="P26" s="14">
        <f t="shared" si="14"/>
        <v>0.02</v>
      </c>
      <c r="Q26" s="14">
        <f t="shared" si="14"/>
        <v>0.02</v>
      </c>
      <c r="R26" s="14">
        <f t="shared" si="14"/>
        <v>0.02</v>
      </c>
      <c r="S26" s="14">
        <f t="shared" si="14"/>
        <v>0.02</v>
      </c>
      <c r="T26" s="14">
        <f t="shared" si="14"/>
        <v>0.02</v>
      </c>
      <c r="U26" s="14">
        <f t="shared" si="14"/>
        <v>0.02</v>
      </c>
      <c r="V26" s="14">
        <f t="shared" si="14"/>
        <v>0.02</v>
      </c>
      <c r="W26" s="14">
        <f t="shared" si="14"/>
        <v>0.02</v>
      </c>
      <c r="X26" s="14">
        <f t="shared" si="14"/>
        <v>0.02</v>
      </c>
      <c r="Y26" s="14">
        <f t="shared" si="14"/>
        <v>0.02</v>
      </c>
      <c r="Z26" s="14">
        <f t="shared" si="14"/>
        <v>0.02</v>
      </c>
      <c r="AA26" s="14">
        <f t="shared" si="14"/>
        <v>0.02</v>
      </c>
      <c r="AB26" s="14">
        <f t="shared" si="14"/>
        <v>0.02</v>
      </c>
    </row>
    <row r="27" spans="2:1006" outlineLevel="1" x14ac:dyDescent="0.55000000000000004">
      <c r="C27" s="11" t="s">
        <v>61</v>
      </c>
      <c r="D27" s="14" t="s">
        <v>17</v>
      </c>
      <c r="E27" s="14"/>
      <c r="F27" s="14"/>
      <c r="G27" s="6">
        <v>1</v>
      </c>
      <c r="H27" s="15">
        <f t="shared" ref="H27:AB27" si="15">G27*(1+H26*H5)</f>
        <v>1</v>
      </c>
      <c r="I27" s="15">
        <f t="shared" si="15"/>
        <v>1.02</v>
      </c>
      <c r="J27" s="15">
        <f t="shared" si="15"/>
        <v>1.0404</v>
      </c>
      <c r="K27" s="15">
        <f t="shared" si="15"/>
        <v>1.0612079999999999</v>
      </c>
      <c r="L27" s="15">
        <f t="shared" si="15"/>
        <v>1.08243216</v>
      </c>
      <c r="M27" s="15">
        <f t="shared" si="15"/>
        <v>1.1040808032</v>
      </c>
      <c r="N27" s="15">
        <f t="shared" si="15"/>
        <v>1.1261624192640001</v>
      </c>
      <c r="O27" s="15">
        <f t="shared" si="15"/>
        <v>1.14868566764928</v>
      </c>
      <c r="P27" s="15">
        <f t="shared" si="15"/>
        <v>1.1716593810022657</v>
      </c>
      <c r="Q27" s="15">
        <f t="shared" si="15"/>
        <v>1.1950925686223111</v>
      </c>
      <c r="R27" s="15">
        <f t="shared" si="15"/>
        <v>1.2189944199947573</v>
      </c>
      <c r="S27" s="15">
        <f t="shared" si="15"/>
        <v>1.2433743083946525</v>
      </c>
      <c r="T27" s="15">
        <f t="shared" si="15"/>
        <v>1.2682417945625455</v>
      </c>
      <c r="U27" s="15">
        <f t="shared" si="15"/>
        <v>1.2936066304537963</v>
      </c>
      <c r="V27" s="15">
        <f t="shared" si="15"/>
        <v>1.3194787630628724</v>
      </c>
      <c r="W27" s="15">
        <f t="shared" si="15"/>
        <v>1.3458683383241299</v>
      </c>
      <c r="X27" s="15">
        <f t="shared" si="15"/>
        <v>1.3727857050906125</v>
      </c>
      <c r="Y27" s="15">
        <f t="shared" si="15"/>
        <v>1.4002414191924248</v>
      </c>
      <c r="Z27" s="15">
        <f t="shared" si="15"/>
        <v>1.4282462475762734</v>
      </c>
      <c r="AA27" s="15">
        <f t="shared" si="15"/>
        <v>1.4568111725277988</v>
      </c>
      <c r="AB27" s="15">
        <f t="shared" si="15"/>
        <v>1.4859473959783549</v>
      </c>
    </row>
    <row r="28" spans="2:1006" outlineLevel="1" x14ac:dyDescent="0.55000000000000004">
      <c r="C28" s="11" t="s">
        <v>2</v>
      </c>
      <c r="D28" s="11" t="s">
        <v>63</v>
      </c>
      <c r="E28" s="10">
        <v>1000</v>
      </c>
      <c r="F28" s="15"/>
      <c r="H28" s="32">
        <f t="shared" ref="H28:AB28" si="16">$E$28*H7</f>
        <v>0</v>
      </c>
      <c r="I28" s="32">
        <f t="shared" si="16"/>
        <v>25000000</v>
      </c>
      <c r="J28" s="32">
        <f t="shared" si="16"/>
        <v>25000000</v>
      </c>
      <c r="K28" s="32">
        <f t="shared" si="16"/>
        <v>25000000</v>
      </c>
      <c r="L28" s="32">
        <f t="shared" si="16"/>
        <v>25000000</v>
      </c>
      <c r="M28" s="32">
        <f t="shared" si="16"/>
        <v>25000000</v>
      </c>
      <c r="N28" s="32">
        <f t="shared" si="16"/>
        <v>25000000</v>
      </c>
      <c r="O28" s="32">
        <f t="shared" si="16"/>
        <v>25000000</v>
      </c>
      <c r="P28" s="32">
        <f t="shared" si="16"/>
        <v>25000000</v>
      </c>
      <c r="Q28" s="32">
        <f t="shared" si="16"/>
        <v>25000000</v>
      </c>
      <c r="R28" s="32">
        <f t="shared" si="16"/>
        <v>25000000</v>
      </c>
      <c r="S28" s="32">
        <f t="shared" si="16"/>
        <v>25000000</v>
      </c>
      <c r="T28" s="32">
        <f t="shared" si="16"/>
        <v>25000000</v>
      </c>
      <c r="U28" s="32">
        <f t="shared" si="16"/>
        <v>25000000</v>
      </c>
      <c r="V28" s="32">
        <f t="shared" si="16"/>
        <v>25000000</v>
      </c>
      <c r="W28" s="32">
        <f t="shared" si="16"/>
        <v>25000000</v>
      </c>
      <c r="X28" s="32">
        <f t="shared" si="16"/>
        <v>25000000</v>
      </c>
      <c r="Y28" s="32">
        <f t="shared" si="16"/>
        <v>25000000</v>
      </c>
      <c r="Z28" s="32">
        <f t="shared" si="16"/>
        <v>25000000</v>
      </c>
      <c r="AA28" s="32">
        <f t="shared" si="16"/>
        <v>25000000</v>
      </c>
      <c r="AB28" s="32">
        <f t="shared" si="16"/>
        <v>25000000</v>
      </c>
    </row>
    <row r="29" spans="2:1006" outlineLevel="1" x14ac:dyDescent="0.55000000000000004">
      <c r="C29" s="36" t="s">
        <v>64</v>
      </c>
      <c r="D29" s="36" t="s">
        <v>26</v>
      </c>
      <c r="E29" s="38"/>
      <c r="F29" s="38"/>
      <c r="G29" s="36"/>
      <c r="H29" s="37">
        <f>H25*H27*H28</f>
        <v>0</v>
      </c>
      <c r="I29" s="37">
        <f t="shared" ref="I29:AB29" si="17">I25*I27*I28</f>
        <v>382500</v>
      </c>
      <c r="J29" s="37">
        <f t="shared" si="17"/>
        <v>390150</v>
      </c>
      <c r="K29" s="37">
        <f t="shared" si="17"/>
        <v>397952.99999999994</v>
      </c>
      <c r="L29" s="37">
        <f t="shared" si="17"/>
        <v>405912.05999999994</v>
      </c>
      <c r="M29" s="37">
        <f t="shared" si="17"/>
        <v>414030.30119999999</v>
      </c>
      <c r="N29" s="37">
        <f t="shared" si="17"/>
        <v>422310.90722400002</v>
      </c>
      <c r="O29" s="37">
        <f t="shared" si="17"/>
        <v>430757.12536848005</v>
      </c>
      <c r="P29" s="37">
        <f t="shared" si="17"/>
        <v>439372.26787584968</v>
      </c>
      <c r="Q29" s="37">
        <f t="shared" si="17"/>
        <v>448159.71323336661</v>
      </c>
      <c r="R29" s="37">
        <f t="shared" si="17"/>
        <v>457122.90749803401</v>
      </c>
      <c r="S29" s="37">
        <f t="shared" si="17"/>
        <v>466265.36564799468</v>
      </c>
      <c r="T29" s="37">
        <f t="shared" si="17"/>
        <v>475590.67296095454</v>
      </c>
      <c r="U29" s="37">
        <f t="shared" si="17"/>
        <v>485102.48642017361</v>
      </c>
      <c r="V29" s="37">
        <f t="shared" si="17"/>
        <v>494804.53614857711</v>
      </c>
      <c r="W29" s="37">
        <f t="shared" si="17"/>
        <v>504700.62687154871</v>
      </c>
      <c r="X29" s="37">
        <f t="shared" si="17"/>
        <v>514794.63940897968</v>
      </c>
      <c r="Y29" s="37">
        <f t="shared" si="17"/>
        <v>525090.53219715925</v>
      </c>
      <c r="Z29" s="37">
        <f t="shared" si="17"/>
        <v>535592.34284110251</v>
      </c>
      <c r="AA29" s="37">
        <f t="shared" si="17"/>
        <v>546304.18969792454</v>
      </c>
      <c r="AB29" s="37">
        <f t="shared" si="17"/>
        <v>557230.27349188307</v>
      </c>
    </row>
    <row r="30" spans="2:1006" outlineLevel="1" x14ac:dyDescent="0.55000000000000004">
      <c r="D30" s="14"/>
      <c r="E30" s="14"/>
      <c r="F30" s="14"/>
    </row>
    <row r="31" spans="2:1006" outlineLevel="1" x14ac:dyDescent="0.55000000000000004">
      <c r="C31" s="11" t="s">
        <v>25</v>
      </c>
      <c r="D31" s="11" t="s">
        <v>26</v>
      </c>
      <c r="E31" s="28">
        <f>Input!E17</f>
        <v>200000</v>
      </c>
      <c r="F31" s="15"/>
      <c r="H31" s="32">
        <f t="shared" ref="H31:AB31" si="18">$E$31*H5</f>
        <v>0</v>
      </c>
      <c r="I31" s="32">
        <f t="shared" si="18"/>
        <v>200000</v>
      </c>
      <c r="J31" s="32">
        <f t="shared" si="18"/>
        <v>200000</v>
      </c>
      <c r="K31" s="32">
        <f t="shared" si="18"/>
        <v>200000</v>
      </c>
      <c r="L31" s="32">
        <f t="shared" si="18"/>
        <v>200000</v>
      </c>
      <c r="M31" s="32">
        <f t="shared" si="18"/>
        <v>200000</v>
      </c>
      <c r="N31" s="32">
        <f t="shared" si="18"/>
        <v>200000</v>
      </c>
      <c r="O31" s="32">
        <f t="shared" si="18"/>
        <v>200000</v>
      </c>
      <c r="P31" s="32">
        <f t="shared" si="18"/>
        <v>200000</v>
      </c>
      <c r="Q31" s="32">
        <f t="shared" si="18"/>
        <v>200000</v>
      </c>
      <c r="R31" s="32">
        <f t="shared" si="18"/>
        <v>200000</v>
      </c>
      <c r="S31" s="32">
        <f t="shared" si="18"/>
        <v>200000</v>
      </c>
      <c r="T31" s="32">
        <f t="shared" si="18"/>
        <v>200000</v>
      </c>
      <c r="U31" s="32">
        <f t="shared" si="18"/>
        <v>200000</v>
      </c>
      <c r="V31" s="32">
        <f t="shared" si="18"/>
        <v>200000</v>
      </c>
      <c r="W31" s="32">
        <f t="shared" si="18"/>
        <v>200000</v>
      </c>
      <c r="X31" s="32">
        <f t="shared" si="18"/>
        <v>200000</v>
      </c>
      <c r="Y31" s="32">
        <f t="shared" si="18"/>
        <v>200000</v>
      </c>
      <c r="Z31" s="32">
        <f t="shared" si="18"/>
        <v>200000</v>
      </c>
      <c r="AA31" s="32">
        <f t="shared" si="18"/>
        <v>200000</v>
      </c>
      <c r="AB31" s="32">
        <f t="shared" si="18"/>
        <v>200000</v>
      </c>
    </row>
    <row r="32" spans="2:1006" outlineLevel="1" x14ac:dyDescent="0.55000000000000004">
      <c r="C32" s="11" t="s">
        <v>27</v>
      </c>
      <c r="D32" s="11" t="s">
        <v>10</v>
      </c>
      <c r="E32" s="27">
        <f>Input!E18</f>
        <v>-0.01</v>
      </c>
      <c r="F32" s="14"/>
      <c r="H32" s="13">
        <f t="shared" ref="H32:AB32" si="19">$E$32*H5</f>
        <v>0</v>
      </c>
      <c r="I32" s="13">
        <f t="shared" si="19"/>
        <v>-0.01</v>
      </c>
      <c r="J32" s="13">
        <f t="shared" si="19"/>
        <v>-0.01</v>
      </c>
      <c r="K32" s="13">
        <f t="shared" si="19"/>
        <v>-0.01</v>
      </c>
      <c r="L32" s="13">
        <f t="shared" si="19"/>
        <v>-0.01</v>
      </c>
      <c r="M32" s="13">
        <f t="shared" si="19"/>
        <v>-0.01</v>
      </c>
      <c r="N32" s="13">
        <f t="shared" si="19"/>
        <v>-0.01</v>
      </c>
      <c r="O32" s="13">
        <f t="shared" si="19"/>
        <v>-0.01</v>
      </c>
      <c r="P32" s="13">
        <f t="shared" si="19"/>
        <v>-0.01</v>
      </c>
      <c r="Q32" s="13">
        <f t="shared" si="19"/>
        <v>-0.01</v>
      </c>
      <c r="R32" s="13">
        <f t="shared" si="19"/>
        <v>-0.01</v>
      </c>
      <c r="S32" s="13">
        <f t="shared" si="19"/>
        <v>-0.01</v>
      </c>
      <c r="T32" s="13">
        <f t="shared" si="19"/>
        <v>-0.01</v>
      </c>
      <c r="U32" s="13">
        <f t="shared" si="19"/>
        <v>-0.01</v>
      </c>
      <c r="V32" s="13">
        <f t="shared" si="19"/>
        <v>-0.01</v>
      </c>
      <c r="W32" s="13">
        <f t="shared" si="19"/>
        <v>-0.01</v>
      </c>
      <c r="X32" s="13">
        <f t="shared" si="19"/>
        <v>-0.01</v>
      </c>
      <c r="Y32" s="13">
        <f t="shared" si="19"/>
        <v>-0.01</v>
      </c>
      <c r="Z32" s="13">
        <f t="shared" si="19"/>
        <v>-0.01</v>
      </c>
      <c r="AA32" s="13">
        <f t="shared" si="19"/>
        <v>-0.01</v>
      </c>
      <c r="AB32" s="13">
        <f t="shared" si="19"/>
        <v>-0.01</v>
      </c>
    </row>
    <row r="33" spans="2:1006" outlineLevel="1" x14ac:dyDescent="0.55000000000000004">
      <c r="C33" s="11" t="s">
        <v>62</v>
      </c>
      <c r="D33" s="14" t="s">
        <v>17</v>
      </c>
      <c r="G33" s="6">
        <v>1</v>
      </c>
      <c r="H33" s="15">
        <f t="shared" ref="H33:AB33" si="20">G33*(1+H5*H32)</f>
        <v>1</v>
      </c>
      <c r="I33" s="15">
        <f t="shared" si="20"/>
        <v>0.99</v>
      </c>
      <c r="J33" s="15">
        <f t="shared" si="20"/>
        <v>0.98009999999999997</v>
      </c>
      <c r="K33" s="15">
        <f t="shared" si="20"/>
        <v>0.97029899999999991</v>
      </c>
      <c r="L33" s="15">
        <f t="shared" si="20"/>
        <v>0.96059600999999994</v>
      </c>
      <c r="M33" s="15">
        <f t="shared" si="20"/>
        <v>0.95099004989999991</v>
      </c>
      <c r="N33" s="15">
        <f t="shared" si="20"/>
        <v>0.94148014940099989</v>
      </c>
      <c r="O33" s="15">
        <f t="shared" si="20"/>
        <v>0.93206534790698992</v>
      </c>
      <c r="P33" s="15">
        <f t="shared" si="20"/>
        <v>0.92274469442791995</v>
      </c>
      <c r="Q33" s="15">
        <f t="shared" si="20"/>
        <v>0.91351724748364072</v>
      </c>
      <c r="R33" s="15">
        <f t="shared" si="20"/>
        <v>0.9043820750088043</v>
      </c>
      <c r="S33" s="15">
        <f t="shared" si="20"/>
        <v>0.89533825425871627</v>
      </c>
      <c r="T33" s="15">
        <f t="shared" si="20"/>
        <v>0.88638487171612912</v>
      </c>
      <c r="U33" s="15">
        <f t="shared" si="20"/>
        <v>0.87752102299896784</v>
      </c>
      <c r="V33" s="15">
        <f t="shared" si="20"/>
        <v>0.86874581276897811</v>
      </c>
      <c r="W33" s="15">
        <f t="shared" si="20"/>
        <v>0.86005835464128833</v>
      </c>
      <c r="X33" s="15">
        <f t="shared" si="20"/>
        <v>0.85145777109487542</v>
      </c>
      <c r="Y33" s="15">
        <f t="shared" si="20"/>
        <v>0.84294319338392665</v>
      </c>
      <c r="Z33" s="15">
        <f t="shared" si="20"/>
        <v>0.83451376145008738</v>
      </c>
      <c r="AA33" s="15">
        <f t="shared" si="20"/>
        <v>0.82616862383558654</v>
      </c>
      <c r="AB33" s="15">
        <f t="shared" si="20"/>
        <v>0.81790693759723065</v>
      </c>
    </row>
    <row r="34" spans="2:1006" outlineLevel="1" x14ac:dyDescent="0.55000000000000004">
      <c r="C34" s="36" t="s">
        <v>65</v>
      </c>
      <c r="D34" s="38" t="s">
        <v>26</v>
      </c>
      <c r="E34" s="36"/>
      <c r="F34" s="19">
        <f>SUM(H34:XFD34)</f>
        <v>3605442.6355748279</v>
      </c>
      <c r="G34" s="36"/>
      <c r="H34" s="37">
        <f>H33*H31</f>
        <v>0</v>
      </c>
      <c r="I34" s="37">
        <f t="shared" ref="I34:AB34" si="21">I33*I31</f>
        <v>198000</v>
      </c>
      <c r="J34" s="37">
        <f t="shared" si="21"/>
        <v>196020</v>
      </c>
      <c r="K34" s="37">
        <f t="shared" si="21"/>
        <v>194059.8</v>
      </c>
      <c r="L34" s="37">
        <f t="shared" si="21"/>
        <v>192119.20199999999</v>
      </c>
      <c r="M34" s="37">
        <f t="shared" si="21"/>
        <v>190198.00997999997</v>
      </c>
      <c r="N34" s="37">
        <f t="shared" si="21"/>
        <v>188296.02988019999</v>
      </c>
      <c r="O34" s="37">
        <f t="shared" si="21"/>
        <v>186413.06958139798</v>
      </c>
      <c r="P34" s="37">
        <f t="shared" si="21"/>
        <v>184548.93888558398</v>
      </c>
      <c r="Q34" s="37">
        <f t="shared" si="21"/>
        <v>182703.44949672814</v>
      </c>
      <c r="R34" s="37">
        <f t="shared" si="21"/>
        <v>180876.41500176085</v>
      </c>
      <c r="S34" s="37">
        <f t="shared" si="21"/>
        <v>179067.65085174327</v>
      </c>
      <c r="T34" s="37">
        <f t="shared" si="21"/>
        <v>177276.97434322583</v>
      </c>
      <c r="U34" s="37">
        <f t="shared" si="21"/>
        <v>175504.20459979356</v>
      </c>
      <c r="V34" s="37">
        <f t="shared" si="21"/>
        <v>173749.16255379561</v>
      </c>
      <c r="W34" s="37">
        <f t="shared" si="21"/>
        <v>172011.67092825766</v>
      </c>
      <c r="X34" s="37">
        <f t="shared" si="21"/>
        <v>170291.55421897507</v>
      </c>
      <c r="Y34" s="37">
        <f t="shared" si="21"/>
        <v>168588.63867678534</v>
      </c>
      <c r="Z34" s="37">
        <f t="shared" si="21"/>
        <v>166902.75229001747</v>
      </c>
      <c r="AA34" s="37">
        <f t="shared" si="21"/>
        <v>165233.7247671173</v>
      </c>
      <c r="AB34" s="37">
        <f t="shared" si="21"/>
        <v>163581.38751944614</v>
      </c>
    </row>
    <row r="35" spans="2:1006" outlineLevel="1" x14ac:dyDescent="0.55000000000000004">
      <c r="D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2:1006" outlineLevel="1" x14ac:dyDescent="0.55000000000000004">
      <c r="C36" s="11" t="s">
        <v>60</v>
      </c>
      <c r="D36" s="11" t="s">
        <v>28</v>
      </c>
      <c r="E36" s="28">
        <f>Input!E19</f>
        <v>175000</v>
      </c>
      <c r="F36" s="15"/>
      <c r="H36" s="11">
        <f t="shared" ref="H36:AB36" si="22">$E$36*H5</f>
        <v>0</v>
      </c>
      <c r="I36" s="11">
        <f t="shared" si="22"/>
        <v>175000</v>
      </c>
      <c r="J36" s="11">
        <f t="shared" si="22"/>
        <v>175000</v>
      </c>
      <c r="K36" s="11">
        <f t="shared" si="22"/>
        <v>175000</v>
      </c>
      <c r="L36" s="11">
        <f t="shared" si="22"/>
        <v>175000</v>
      </c>
      <c r="M36" s="11">
        <f t="shared" si="22"/>
        <v>175000</v>
      </c>
      <c r="N36" s="11">
        <f t="shared" si="22"/>
        <v>175000</v>
      </c>
      <c r="O36" s="11">
        <f t="shared" si="22"/>
        <v>175000</v>
      </c>
      <c r="P36" s="11">
        <f t="shared" si="22"/>
        <v>175000</v>
      </c>
      <c r="Q36" s="11">
        <f t="shared" si="22"/>
        <v>175000</v>
      </c>
      <c r="R36" s="11">
        <f t="shared" si="22"/>
        <v>175000</v>
      </c>
      <c r="S36" s="11">
        <f t="shared" si="22"/>
        <v>175000</v>
      </c>
      <c r="T36" s="11">
        <f t="shared" si="22"/>
        <v>175000</v>
      </c>
      <c r="U36" s="11">
        <f t="shared" si="22"/>
        <v>175000</v>
      </c>
      <c r="V36" s="11">
        <f t="shared" si="22"/>
        <v>175000</v>
      </c>
      <c r="W36" s="11">
        <f t="shared" si="22"/>
        <v>175000</v>
      </c>
      <c r="X36" s="11">
        <f t="shared" si="22"/>
        <v>175000</v>
      </c>
      <c r="Y36" s="11">
        <f t="shared" si="22"/>
        <v>175000</v>
      </c>
      <c r="Z36" s="11">
        <f t="shared" si="22"/>
        <v>175000</v>
      </c>
      <c r="AA36" s="11">
        <f t="shared" si="22"/>
        <v>175000</v>
      </c>
      <c r="AB36" s="11">
        <f t="shared" si="22"/>
        <v>175000</v>
      </c>
    </row>
    <row r="37" spans="2:1006" outlineLevel="1" x14ac:dyDescent="0.55000000000000004"/>
    <row r="38" spans="2:1006" ht="14.7" outlineLevel="1" thickBot="1" x14ac:dyDescent="0.6">
      <c r="C38" s="39" t="s">
        <v>67</v>
      </c>
      <c r="D38" s="39" t="s">
        <v>26</v>
      </c>
      <c r="E38" s="39"/>
      <c r="F38" s="18">
        <f>SUM(H38:AB38)</f>
        <v>16399186.583660858</v>
      </c>
      <c r="G38" s="39"/>
      <c r="H38" s="35">
        <f>H36+H34+H29</f>
        <v>0</v>
      </c>
      <c r="I38" s="35">
        <f t="shared" ref="I38:AB38" si="23">I36+I34+I29</f>
        <v>755500</v>
      </c>
      <c r="J38" s="35">
        <f t="shared" si="23"/>
        <v>761170</v>
      </c>
      <c r="K38" s="35">
        <f t="shared" si="23"/>
        <v>767012.79999999993</v>
      </c>
      <c r="L38" s="35">
        <f t="shared" si="23"/>
        <v>773031.26199999987</v>
      </c>
      <c r="M38" s="35">
        <f t="shared" si="23"/>
        <v>779228.31117999996</v>
      </c>
      <c r="N38" s="35">
        <f t="shared" si="23"/>
        <v>785606.93710420001</v>
      </c>
      <c r="O38" s="35">
        <f t="shared" si="23"/>
        <v>792170.19494987803</v>
      </c>
      <c r="P38" s="35">
        <f t="shared" si="23"/>
        <v>798921.20676143374</v>
      </c>
      <c r="Q38" s="35">
        <f t="shared" si="23"/>
        <v>805863.16273009474</v>
      </c>
      <c r="R38" s="35">
        <f t="shared" si="23"/>
        <v>812999.32249979489</v>
      </c>
      <c r="S38" s="35">
        <f t="shared" si="23"/>
        <v>820333.01649973798</v>
      </c>
      <c r="T38" s="35">
        <f t="shared" si="23"/>
        <v>827867.64730418031</v>
      </c>
      <c r="U38" s="35">
        <f t="shared" si="23"/>
        <v>835606.6910199672</v>
      </c>
      <c r="V38" s="35">
        <f t="shared" si="23"/>
        <v>843553.69870237273</v>
      </c>
      <c r="W38" s="35">
        <f t="shared" si="23"/>
        <v>851712.29779980634</v>
      </c>
      <c r="X38" s="35">
        <f t="shared" si="23"/>
        <v>860086.19362795469</v>
      </c>
      <c r="Y38" s="35">
        <f t="shared" si="23"/>
        <v>868679.17087394465</v>
      </c>
      <c r="Z38" s="35">
        <f t="shared" si="23"/>
        <v>877495.09513111995</v>
      </c>
      <c r="AA38" s="35">
        <f t="shared" si="23"/>
        <v>886537.91446504183</v>
      </c>
      <c r="AB38" s="35">
        <f t="shared" si="23"/>
        <v>895811.66101132915</v>
      </c>
    </row>
    <row r="39" spans="2:1006" ht="14.7" outlineLevel="1" thickTop="1" x14ac:dyDescent="0.55000000000000004"/>
    <row r="40" spans="2:1006" outlineLevel="1" x14ac:dyDescent="0.55000000000000004">
      <c r="C40" s="11" t="s">
        <v>68</v>
      </c>
      <c r="D40" s="11" t="s">
        <v>26</v>
      </c>
      <c r="F40" s="20">
        <f>SUM(H40:AB40)</f>
        <v>144472300.45236859</v>
      </c>
      <c r="H40" s="15">
        <f>H22-H38</f>
        <v>0</v>
      </c>
      <c r="I40" s="15">
        <f t="shared" ref="I40:AB40" si="24">I22-I38</f>
        <v>5873687.5</v>
      </c>
      <c r="J40" s="15">
        <f t="shared" si="24"/>
        <v>5999772.6015624991</v>
      </c>
      <c r="K40" s="15">
        <f t="shared" si="24"/>
        <v>6128303.5357685545</v>
      </c>
      <c r="L40" s="15">
        <f t="shared" si="24"/>
        <v>6259329.485941953</v>
      </c>
      <c r="M40" s="15">
        <f t="shared" si="24"/>
        <v>6392900.6066272985</v>
      </c>
      <c r="N40" s="15">
        <f t="shared" si="24"/>
        <v>6529068.0429445188</v>
      </c>
      <c r="O40" s="15">
        <f t="shared" si="24"/>
        <v>6667883.950327307</v>
      </c>
      <c r="P40" s="15">
        <f t="shared" si="24"/>
        <v>6809401.514653136</v>
      </c>
      <c r="Q40" s="15">
        <f t="shared" si="24"/>
        <v>6953674.972772588</v>
      </c>
      <c r="R40" s="15">
        <f t="shared" si="24"/>
        <v>7100759.6334460024</v>
      </c>
      <c r="S40" s="15">
        <f t="shared" si="24"/>
        <v>7250711.8986954801</v>
      </c>
      <c r="T40" s="15">
        <f t="shared" si="24"/>
        <v>7403589.2855805429</v>
      </c>
      <c r="U40" s="15">
        <f t="shared" si="24"/>
        <v>7559450.4484058414</v>
      </c>
      <c r="V40" s="15">
        <f t="shared" si="24"/>
        <v>7718355.2013695221</v>
      </c>
      <c r="W40" s="15">
        <f t="shared" si="24"/>
        <v>7880364.5416610157</v>
      </c>
      <c r="X40" s="15">
        <f t="shared" si="24"/>
        <v>8045540.6730171489</v>
      </c>
      <c r="Y40" s="15">
        <f t="shared" si="24"/>
        <v>8213947.0297457306</v>
      </c>
      <c r="Z40" s="15">
        <f t="shared" si="24"/>
        <v>8385648.3012258708</v>
      </c>
      <c r="AA40" s="15">
        <f t="shared" si="24"/>
        <v>8560710.4568945412</v>
      </c>
      <c r="AB40" s="15">
        <f t="shared" si="24"/>
        <v>8739200.771729026</v>
      </c>
    </row>
    <row r="41" spans="2:1006" outlineLevel="1" x14ac:dyDescent="0.55000000000000004"/>
    <row r="42" spans="2:1006" outlineLevel="1" x14ac:dyDescent="0.55000000000000004">
      <c r="C42" s="36" t="s">
        <v>33</v>
      </c>
      <c r="D42" s="36" t="s">
        <v>26</v>
      </c>
      <c r="E42" s="29">
        <f>Input!E22</f>
        <v>70000000</v>
      </c>
      <c r="F42" s="19">
        <f>SUM(H42:AB42)</f>
        <v>70000000</v>
      </c>
      <c r="G42" s="36"/>
      <c r="H42" s="37">
        <f t="shared" ref="H42:AB42" si="25">H4*$E$42</f>
        <v>70000000</v>
      </c>
      <c r="I42" s="37">
        <f t="shared" si="25"/>
        <v>0</v>
      </c>
      <c r="J42" s="37">
        <f t="shared" si="25"/>
        <v>0</v>
      </c>
      <c r="K42" s="37">
        <f t="shared" si="25"/>
        <v>0</v>
      </c>
      <c r="L42" s="37">
        <f t="shared" si="25"/>
        <v>0</v>
      </c>
      <c r="M42" s="37">
        <f t="shared" si="25"/>
        <v>0</v>
      </c>
      <c r="N42" s="37">
        <f t="shared" si="25"/>
        <v>0</v>
      </c>
      <c r="O42" s="37">
        <f t="shared" si="25"/>
        <v>0</v>
      </c>
      <c r="P42" s="37">
        <f t="shared" si="25"/>
        <v>0</v>
      </c>
      <c r="Q42" s="37">
        <f t="shared" si="25"/>
        <v>0</v>
      </c>
      <c r="R42" s="37">
        <f t="shared" si="25"/>
        <v>0</v>
      </c>
      <c r="S42" s="37">
        <f t="shared" si="25"/>
        <v>0</v>
      </c>
      <c r="T42" s="37">
        <f t="shared" si="25"/>
        <v>0</v>
      </c>
      <c r="U42" s="37">
        <f t="shared" si="25"/>
        <v>0</v>
      </c>
      <c r="V42" s="37">
        <f t="shared" si="25"/>
        <v>0</v>
      </c>
      <c r="W42" s="37">
        <f t="shared" si="25"/>
        <v>0</v>
      </c>
      <c r="X42" s="37">
        <f t="shared" si="25"/>
        <v>0</v>
      </c>
      <c r="Y42" s="37">
        <f t="shared" si="25"/>
        <v>0</v>
      </c>
      <c r="Z42" s="37">
        <f t="shared" si="25"/>
        <v>0</v>
      </c>
      <c r="AA42" s="37">
        <f t="shared" si="25"/>
        <v>0</v>
      </c>
      <c r="AB42" s="37">
        <f t="shared" si="25"/>
        <v>0</v>
      </c>
    </row>
    <row r="43" spans="2:1006" outlineLevel="1" x14ac:dyDescent="0.55000000000000004"/>
    <row r="44" spans="2:1006" outlineLevel="1" x14ac:dyDescent="0.55000000000000004">
      <c r="C44" s="11" t="s">
        <v>69</v>
      </c>
      <c r="D44" s="11" t="s">
        <v>26</v>
      </c>
      <c r="F44" s="21">
        <f>SUM(H44:AB44)</f>
        <v>74472300.452368587</v>
      </c>
      <c r="G44" s="32"/>
      <c r="H44" s="32">
        <f>H40-H42</f>
        <v>-70000000</v>
      </c>
      <c r="I44" s="32">
        <f t="shared" ref="I44:AB44" si="26">I40-I42</f>
        <v>5873687.5</v>
      </c>
      <c r="J44" s="32">
        <f t="shared" si="26"/>
        <v>5999772.6015624991</v>
      </c>
      <c r="K44" s="32">
        <f t="shared" si="26"/>
        <v>6128303.5357685545</v>
      </c>
      <c r="L44" s="32">
        <f t="shared" si="26"/>
        <v>6259329.485941953</v>
      </c>
      <c r="M44" s="32">
        <f t="shared" si="26"/>
        <v>6392900.6066272985</v>
      </c>
      <c r="N44" s="32">
        <f t="shared" si="26"/>
        <v>6529068.0429445188</v>
      </c>
      <c r="O44" s="32">
        <f t="shared" si="26"/>
        <v>6667883.950327307</v>
      </c>
      <c r="P44" s="32">
        <f t="shared" si="26"/>
        <v>6809401.514653136</v>
      </c>
      <c r="Q44" s="32">
        <f t="shared" si="26"/>
        <v>6953674.972772588</v>
      </c>
      <c r="R44" s="32">
        <f t="shared" si="26"/>
        <v>7100759.6334460024</v>
      </c>
      <c r="S44" s="32">
        <f t="shared" si="26"/>
        <v>7250711.8986954801</v>
      </c>
      <c r="T44" s="32">
        <f t="shared" si="26"/>
        <v>7403589.2855805429</v>
      </c>
      <c r="U44" s="32">
        <f t="shared" si="26"/>
        <v>7559450.4484058414</v>
      </c>
      <c r="V44" s="32">
        <f t="shared" si="26"/>
        <v>7718355.2013695221</v>
      </c>
      <c r="W44" s="32">
        <f t="shared" si="26"/>
        <v>7880364.5416610157</v>
      </c>
      <c r="X44" s="32">
        <f t="shared" si="26"/>
        <v>8045540.6730171489</v>
      </c>
      <c r="Y44" s="32">
        <f t="shared" si="26"/>
        <v>8213947.0297457306</v>
      </c>
      <c r="Z44" s="32">
        <f t="shared" si="26"/>
        <v>8385648.3012258708</v>
      </c>
      <c r="AA44" s="32">
        <f t="shared" si="26"/>
        <v>8560710.4568945412</v>
      </c>
      <c r="AB44" s="32">
        <f t="shared" si="26"/>
        <v>8739200.771729026</v>
      </c>
    </row>
    <row r="45" spans="2:1006" outlineLevel="1" x14ac:dyDescent="0.55000000000000004">
      <c r="C45" s="11" t="s">
        <v>70</v>
      </c>
      <c r="D45" s="11" t="s">
        <v>10</v>
      </c>
      <c r="E45" s="13">
        <f>IRR(H44:AB44)</f>
        <v>7.5184908704554854E-2</v>
      </c>
      <c r="F45" s="13"/>
    </row>
    <row r="46" spans="2:1006" outlineLevel="1" x14ac:dyDescent="0.55000000000000004"/>
    <row r="47" spans="2:1006" x14ac:dyDescent="0.55000000000000004">
      <c r="B47" s="16" t="s">
        <v>71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  <c r="AEG47" s="16"/>
      <c r="AEH47" s="16"/>
      <c r="AEI47" s="16"/>
      <c r="AEJ47" s="16"/>
      <c r="AEK47" s="16"/>
      <c r="AEL47" s="16"/>
      <c r="AEM47" s="16"/>
      <c r="AEN47" s="16"/>
      <c r="AEO47" s="16"/>
      <c r="AEP47" s="16"/>
      <c r="AEQ47" s="16"/>
      <c r="AER47" s="16"/>
      <c r="AES47" s="16"/>
      <c r="AET47" s="16"/>
      <c r="AEU47" s="16"/>
      <c r="AEV47" s="16"/>
      <c r="AEW47" s="16"/>
      <c r="AEX47" s="16"/>
      <c r="AEY47" s="16"/>
      <c r="AEZ47" s="16"/>
      <c r="AFA47" s="16"/>
      <c r="AFB47" s="16"/>
      <c r="AFC47" s="16"/>
      <c r="AFD47" s="16"/>
      <c r="AFE47" s="16"/>
      <c r="AFF47" s="16"/>
      <c r="AFG47" s="16"/>
      <c r="AFH47" s="16"/>
      <c r="AFI47" s="16"/>
      <c r="AFJ47" s="16"/>
      <c r="AFK47" s="16"/>
      <c r="AFL47" s="16"/>
      <c r="AFM47" s="16"/>
      <c r="AFN47" s="16"/>
      <c r="AFO47" s="16"/>
      <c r="AFP47" s="16"/>
      <c r="AFQ47" s="16"/>
      <c r="AFR47" s="16"/>
      <c r="AFS47" s="16"/>
      <c r="AFT47" s="16"/>
      <c r="AFU47" s="16"/>
      <c r="AFV47" s="16"/>
      <c r="AFW47" s="16"/>
      <c r="AFX47" s="16"/>
      <c r="AFY47" s="16"/>
      <c r="AFZ47" s="16"/>
      <c r="AGA47" s="16"/>
      <c r="AGB47" s="16"/>
      <c r="AGC47" s="16"/>
      <c r="AGD47" s="16"/>
      <c r="AGE47" s="16"/>
      <c r="AGF47" s="16"/>
      <c r="AGG47" s="16"/>
      <c r="AGH47" s="16"/>
      <c r="AGI47" s="16"/>
      <c r="AGJ47" s="16"/>
      <c r="AGK47" s="16"/>
      <c r="AGL47" s="16"/>
      <c r="AGM47" s="16"/>
      <c r="AGN47" s="16"/>
      <c r="AGO47" s="16"/>
      <c r="AGP47" s="16"/>
      <c r="AGQ47" s="16"/>
      <c r="AGR47" s="16"/>
      <c r="AGS47" s="16"/>
      <c r="AGT47" s="16"/>
      <c r="AGU47" s="16"/>
      <c r="AGV47" s="16"/>
      <c r="AGW47" s="16"/>
      <c r="AGX47" s="16"/>
      <c r="AGY47" s="16"/>
      <c r="AGZ47" s="16"/>
      <c r="AHA47" s="16"/>
      <c r="AHB47" s="16"/>
      <c r="AHC47" s="16"/>
      <c r="AHD47" s="16"/>
      <c r="AHE47" s="16"/>
      <c r="AHF47" s="16"/>
      <c r="AHG47" s="16"/>
      <c r="AHH47" s="16"/>
      <c r="AHI47" s="16"/>
      <c r="AHJ47" s="16"/>
      <c r="AHK47" s="16"/>
      <c r="AHL47" s="16"/>
      <c r="AHM47" s="16"/>
      <c r="AHN47" s="16"/>
      <c r="AHO47" s="16"/>
      <c r="AHP47" s="16"/>
      <c r="AHQ47" s="16"/>
      <c r="AHR47" s="16"/>
      <c r="AHS47" s="16"/>
      <c r="AHT47" s="16"/>
      <c r="AHU47" s="16"/>
      <c r="AHV47" s="16"/>
      <c r="AHW47" s="16"/>
      <c r="AHX47" s="16"/>
      <c r="AHY47" s="16"/>
      <c r="AHZ47" s="16"/>
      <c r="AIA47" s="16"/>
      <c r="AIB47" s="16"/>
      <c r="AIC47" s="16"/>
      <c r="AID47" s="16"/>
      <c r="AIE47" s="16"/>
      <c r="AIF47" s="16"/>
      <c r="AIG47" s="16"/>
      <c r="AIH47" s="16"/>
      <c r="AII47" s="16"/>
      <c r="AIJ47" s="16"/>
      <c r="AIK47" s="16"/>
      <c r="AIL47" s="16"/>
      <c r="AIM47" s="16"/>
      <c r="AIN47" s="16"/>
      <c r="AIO47" s="16"/>
      <c r="AIP47" s="16"/>
      <c r="AIQ47" s="16"/>
      <c r="AIR47" s="16"/>
      <c r="AIS47" s="16"/>
      <c r="AIT47" s="16"/>
      <c r="AIU47" s="16"/>
      <c r="AIV47" s="16"/>
      <c r="AIW47" s="16"/>
      <c r="AIX47" s="16"/>
      <c r="AIY47" s="16"/>
      <c r="AIZ47" s="16"/>
      <c r="AJA47" s="16"/>
      <c r="AJB47" s="16"/>
      <c r="AJC47" s="16"/>
      <c r="AJD47" s="16"/>
      <c r="AJE47" s="16"/>
      <c r="AJF47" s="16"/>
      <c r="AJG47" s="16"/>
      <c r="AJH47" s="16"/>
      <c r="AJI47" s="16"/>
      <c r="AJJ47" s="16"/>
      <c r="AJK47" s="16"/>
      <c r="AJL47" s="16"/>
      <c r="AJM47" s="16"/>
      <c r="AJN47" s="16"/>
      <c r="AJO47" s="16"/>
      <c r="AJP47" s="16"/>
      <c r="AJQ47" s="16"/>
      <c r="AJR47" s="16"/>
      <c r="AJS47" s="16"/>
      <c r="AJT47" s="16"/>
      <c r="AJU47" s="16"/>
      <c r="AJV47" s="16"/>
      <c r="AJW47" s="16"/>
      <c r="AJX47" s="16"/>
      <c r="AJY47" s="16"/>
      <c r="AJZ47" s="16"/>
      <c r="AKA47" s="16"/>
      <c r="AKB47" s="16"/>
      <c r="AKC47" s="16"/>
      <c r="AKD47" s="16"/>
      <c r="AKE47" s="16"/>
      <c r="AKF47" s="16"/>
      <c r="AKG47" s="16"/>
      <c r="AKH47" s="16"/>
      <c r="AKI47" s="16"/>
      <c r="AKJ47" s="16"/>
      <c r="AKK47" s="16"/>
      <c r="AKL47" s="16"/>
      <c r="AKM47" s="16"/>
      <c r="AKN47" s="16"/>
      <c r="AKO47" s="16"/>
      <c r="AKP47" s="16"/>
      <c r="AKQ47" s="16"/>
      <c r="AKR47" s="16"/>
      <c r="AKS47" s="16"/>
      <c r="AKT47" s="16"/>
      <c r="AKU47" s="16"/>
      <c r="AKV47" s="16"/>
      <c r="AKW47" s="16"/>
      <c r="AKX47" s="16"/>
      <c r="AKY47" s="16"/>
      <c r="AKZ47" s="16"/>
      <c r="ALA47" s="16"/>
      <c r="ALB47" s="16"/>
      <c r="ALC47" s="16"/>
      <c r="ALD47" s="16"/>
      <c r="ALE47" s="16"/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</row>
    <row r="48" spans="2:1006" outlineLevel="1" x14ac:dyDescent="0.55000000000000004">
      <c r="C48" s="11" t="s">
        <v>72</v>
      </c>
      <c r="D48" s="11" t="s">
        <v>26</v>
      </c>
      <c r="F48" s="32"/>
      <c r="G48" s="32"/>
      <c r="H48" s="32">
        <f>G48+H42</f>
        <v>70000000</v>
      </c>
      <c r="I48" s="32">
        <f t="shared" ref="I48:AB48" si="27">H48+I42</f>
        <v>70000000</v>
      </c>
      <c r="J48" s="32">
        <f t="shared" si="27"/>
        <v>70000000</v>
      </c>
      <c r="K48" s="32">
        <f t="shared" si="27"/>
        <v>70000000</v>
      </c>
      <c r="L48" s="32">
        <f t="shared" si="27"/>
        <v>70000000</v>
      </c>
      <c r="M48" s="32">
        <f t="shared" si="27"/>
        <v>70000000</v>
      </c>
      <c r="N48" s="32">
        <f t="shared" si="27"/>
        <v>70000000</v>
      </c>
      <c r="O48" s="32">
        <f t="shared" si="27"/>
        <v>70000000</v>
      </c>
      <c r="P48" s="32">
        <f t="shared" si="27"/>
        <v>70000000</v>
      </c>
      <c r="Q48" s="32">
        <f t="shared" si="27"/>
        <v>70000000</v>
      </c>
      <c r="R48" s="32">
        <f t="shared" si="27"/>
        <v>70000000</v>
      </c>
      <c r="S48" s="32">
        <f t="shared" si="27"/>
        <v>70000000</v>
      </c>
      <c r="T48" s="32">
        <f t="shared" si="27"/>
        <v>70000000</v>
      </c>
      <c r="U48" s="32">
        <f t="shared" si="27"/>
        <v>70000000</v>
      </c>
      <c r="V48" s="32">
        <f t="shared" si="27"/>
        <v>70000000</v>
      </c>
      <c r="W48" s="32">
        <f t="shared" si="27"/>
        <v>70000000</v>
      </c>
      <c r="X48" s="32">
        <f t="shared" si="27"/>
        <v>70000000</v>
      </c>
      <c r="Y48" s="32">
        <f t="shared" si="27"/>
        <v>70000000</v>
      </c>
      <c r="Z48" s="32">
        <f t="shared" si="27"/>
        <v>70000000</v>
      </c>
      <c r="AA48" s="32">
        <f t="shared" si="27"/>
        <v>70000000</v>
      </c>
      <c r="AB48" s="32">
        <f t="shared" si="27"/>
        <v>70000000</v>
      </c>
    </row>
    <row r="49" spans="2:1006" outlineLevel="1" x14ac:dyDescent="0.55000000000000004">
      <c r="C49" s="11" t="s">
        <v>73</v>
      </c>
      <c r="D49" s="11" t="s">
        <v>51</v>
      </c>
      <c r="E49" s="26">
        <f>Input!E26</f>
        <v>5</v>
      </c>
      <c r="H49" s="11" t="b">
        <f t="shared" ref="H49:AB49" si="28">AND(H3&lt;=$E$49,H5)</f>
        <v>0</v>
      </c>
      <c r="I49" s="11" t="b">
        <f t="shared" si="28"/>
        <v>1</v>
      </c>
      <c r="J49" s="11" t="b">
        <f t="shared" si="28"/>
        <v>1</v>
      </c>
      <c r="K49" s="11" t="b">
        <f t="shared" si="28"/>
        <v>1</v>
      </c>
      <c r="L49" s="11" t="b">
        <f t="shared" si="28"/>
        <v>1</v>
      </c>
      <c r="M49" s="11" t="b">
        <f t="shared" si="28"/>
        <v>1</v>
      </c>
      <c r="N49" s="11" t="b">
        <f t="shared" si="28"/>
        <v>0</v>
      </c>
      <c r="O49" s="11" t="b">
        <f t="shared" si="28"/>
        <v>0</v>
      </c>
      <c r="P49" s="11" t="b">
        <f t="shared" si="28"/>
        <v>0</v>
      </c>
      <c r="Q49" s="11" t="b">
        <f t="shared" si="28"/>
        <v>0</v>
      </c>
      <c r="R49" s="11" t="b">
        <f t="shared" si="28"/>
        <v>0</v>
      </c>
      <c r="S49" s="11" t="b">
        <f t="shared" si="28"/>
        <v>0</v>
      </c>
      <c r="T49" s="11" t="b">
        <f t="shared" si="28"/>
        <v>0</v>
      </c>
      <c r="U49" s="11" t="b">
        <f t="shared" si="28"/>
        <v>0</v>
      </c>
      <c r="V49" s="11" t="b">
        <f t="shared" si="28"/>
        <v>0</v>
      </c>
      <c r="W49" s="11" t="b">
        <f t="shared" si="28"/>
        <v>0</v>
      </c>
      <c r="X49" s="11" t="b">
        <f t="shared" si="28"/>
        <v>0</v>
      </c>
      <c r="Y49" s="11" t="b">
        <f t="shared" si="28"/>
        <v>0</v>
      </c>
      <c r="Z49" s="11" t="b">
        <f t="shared" si="28"/>
        <v>0</v>
      </c>
      <c r="AA49" s="11" t="b">
        <f t="shared" si="28"/>
        <v>0</v>
      </c>
      <c r="AB49" s="11" t="b">
        <f t="shared" si="28"/>
        <v>0</v>
      </c>
    </row>
    <row r="50" spans="2:1006" outlineLevel="1" x14ac:dyDescent="0.55000000000000004">
      <c r="C50" s="11" t="s">
        <v>74</v>
      </c>
      <c r="D50" s="11" t="s">
        <v>10</v>
      </c>
      <c r="E50" s="14">
        <f>1/$E$49</f>
        <v>0.2</v>
      </c>
      <c r="F50" s="14"/>
      <c r="H50" s="14">
        <f>H49*$E$50</f>
        <v>0</v>
      </c>
      <c r="I50" s="14">
        <f t="shared" ref="I50:AB50" si="29">I49*$E$50</f>
        <v>0.2</v>
      </c>
      <c r="J50" s="14">
        <f t="shared" si="29"/>
        <v>0.2</v>
      </c>
      <c r="K50" s="14">
        <f t="shared" si="29"/>
        <v>0.2</v>
      </c>
      <c r="L50" s="14">
        <f t="shared" si="29"/>
        <v>0.2</v>
      </c>
      <c r="M50" s="14">
        <f t="shared" si="29"/>
        <v>0.2</v>
      </c>
      <c r="N50" s="14">
        <f t="shared" si="29"/>
        <v>0</v>
      </c>
      <c r="O50" s="14">
        <f t="shared" si="29"/>
        <v>0</v>
      </c>
      <c r="P50" s="14">
        <f t="shared" si="29"/>
        <v>0</v>
      </c>
      <c r="Q50" s="14">
        <f t="shared" si="29"/>
        <v>0</v>
      </c>
      <c r="R50" s="14">
        <f t="shared" si="29"/>
        <v>0</v>
      </c>
      <c r="S50" s="14">
        <f t="shared" si="29"/>
        <v>0</v>
      </c>
      <c r="T50" s="14">
        <f t="shared" si="29"/>
        <v>0</v>
      </c>
      <c r="U50" s="14">
        <f t="shared" si="29"/>
        <v>0</v>
      </c>
      <c r="V50" s="14">
        <f t="shared" si="29"/>
        <v>0</v>
      </c>
      <c r="W50" s="14">
        <f t="shared" si="29"/>
        <v>0</v>
      </c>
      <c r="X50" s="14">
        <f t="shared" si="29"/>
        <v>0</v>
      </c>
      <c r="Y50" s="14">
        <f t="shared" si="29"/>
        <v>0</v>
      </c>
      <c r="Z50" s="14">
        <f t="shared" si="29"/>
        <v>0</v>
      </c>
      <c r="AA50" s="14">
        <f t="shared" si="29"/>
        <v>0</v>
      </c>
      <c r="AB50" s="14">
        <f t="shared" si="29"/>
        <v>0</v>
      </c>
    </row>
    <row r="51" spans="2:1006" outlineLevel="1" x14ac:dyDescent="0.55000000000000004">
      <c r="C51" s="11" t="s">
        <v>75</v>
      </c>
      <c r="D51" s="11" t="s">
        <v>26</v>
      </c>
      <c r="F51" s="21">
        <f>SUM(H51:AB51)</f>
        <v>70000000</v>
      </c>
      <c r="G51" s="32"/>
      <c r="H51" s="32">
        <f>H48*H50</f>
        <v>0</v>
      </c>
      <c r="I51" s="32">
        <f t="shared" ref="I51:AB51" si="30">I48*I50</f>
        <v>14000000</v>
      </c>
      <c r="J51" s="32">
        <f t="shared" si="30"/>
        <v>14000000</v>
      </c>
      <c r="K51" s="32">
        <f t="shared" si="30"/>
        <v>14000000</v>
      </c>
      <c r="L51" s="32">
        <f t="shared" si="30"/>
        <v>14000000</v>
      </c>
      <c r="M51" s="32">
        <f t="shared" si="30"/>
        <v>14000000</v>
      </c>
      <c r="N51" s="32">
        <f t="shared" si="30"/>
        <v>0</v>
      </c>
      <c r="O51" s="32">
        <f t="shared" si="30"/>
        <v>0</v>
      </c>
      <c r="P51" s="32">
        <f t="shared" si="30"/>
        <v>0</v>
      </c>
      <c r="Q51" s="32">
        <f t="shared" si="30"/>
        <v>0</v>
      </c>
      <c r="R51" s="32">
        <f t="shared" si="30"/>
        <v>0</v>
      </c>
      <c r="S51" s="32">
        <f t="shared" si="30"/>
        <v>0</v>
      </c>
      <c r="T51" s="32">
        <f t="shared" si="30"/>
        <v>0</v>
      </c>
      <c r="U51" s="32">
        <f t="shared" si="30"/>
        <v>0</v>
      </c>
      <c r="V51" s="32">
        <f t="shared" si="30"/>
        <v>0</v>
      </c>
      <c r="W51" s="32">
        <f t="shared" si="30"/>
        <v>0</v>
      </c>
      <c r="X51" s="32">
        <f t="shared" si="30"/>
        <v>0</v>
      </c>
      <c r="Y51" s="32">
        <f t="shared" si="30"/>
        <v>0</v>
      </c>
      <c r="Z51" s="32">
        <f t="shared" si="30"/>
        <v>0</v>
      </c>
      <c r="AA51" s="32">
        <f t="shared" si="30"/>
        <v>0</v>
      </c>
      <c r="AB51" s="32">
        <f t="shared" si="30"/>
        <v>0</v>
      </c>
    </row>
    <row r="52" spans="2:1006" outlineLevel="1" x14ac:dyDescent="0.55000000000000004"/>
    <row r="53" spans="2:1006" outlineLevel="1" x14ac:dyDescent="0.55000000000000004">
      <c r="C53" s="11" t="s">
        <v>76</v>
      </c>
      <c r="D53" s="11" t="s">
        <v>26</v>
      </c>
      <c r="F53" s="21">
        <f>SUM(H53:AB53)</f>
        <v>74472300.452368587</v>
      </c>
      <c r="G53" s="32"/>
      <c r="H53" s="32">
        <f>H40-H51</f>
        <v>0</v>
      </c>
      <c r="I53" s="32">
        <f t="shared" ref="I53:AB53" si="31">I40-I51</f>
        <v>-8126312.5</v>
      </c>
      <c r="J53" s="32">
        <f t="shared" si="31"/>
        <v>-8000227.3984375009</v>
      </c>
      <c r="K53" s="32">
        <f t="shared" si="31"/>
        <v>-7871696.4642314455</v>
      </c>
      <c r="L53" s="32">
        <f t="shared" si="31"/>
        <v>-7740670.514058047</v>
      </c>
      <c r="M53" s="32">
        <f t="shared" si="31"/>
        <v>-7607099.3933727015</v>
      </c>
      <c r="N53" s="32">
        <f t="shared" si="31"/>
        <v>6529068.0429445188</v>
      </c>
      <c r="O53" s="32">
        <f t="shared" si="31"/>
        <v>6667883.950327307</v>
      </c>
      <c r="P53" s="32">
        <f t="shared" si="31"/>
        <v>6809401.514653136</v>
      </c>
      <c r="Q53" s="32">
        <f t="shared" si="31"/>
        <v>6953674.972772588</v>
      </c>
      <c r="R53" s="32">
        <f t="shared" si="31"/>
        <v>7100759.6334460024</v>
      </c>
      <c r="S53" s="32">
        <f t="shared" si="31"/>
        <v>7250711.8986954801</v>
      </c>
      <c r="T53" s="32">
        <f t="shared" si="31"/>
        <v>7403589.2855805429</v>
      </c>
      <c r="U53" s="32">
        <f t="shared" si="31"/>
        <v>7559450.4484058414</v>
      </c>
      <c r="V53" s="32">
        <f t="shared" si="31"/>
        <v>7718355.2013695221</v>
      </c>
      <c r="W53" s="32">
        <f t="shared" si="31"/>
        <v>7880364.5416610157</v>
      </c>
      <c r="X53" s="32">
        <f t="shared" si="31"/>
        <v>8045540.6730171489</v>
      </c>
      <c r="Y53" s="32">
        <f t="shared" si="31"/>
        <v>8213947.0297457306</v>
      </c>
      <c r="Z53" s="32">
        <f t="shared" si="31"/>
        <v>8385648.3012258708</v>
      </c>
      <c r="AA53" s="32">
        <f t="shared" si="31"/>
        <v>8560710.4568945412</v>
      </c>
      <c r="AB53" s="32">
        <f t="shared" si="31"/>
        <v>8739200.771729026</v>
      </c>
    </row>
    <row r="54" spans="2:1006" outlineLevel="1" x14ac:dyDescent="0.55000000000000004"/>
    <row r="55" spans="2:1006" outlineLevel="1" x14ac:dyDescent="0.55000000000000004">
      <c r="C55" s="11" t="s">
        <v>77</v>
      </c>
    </row>
    <row r="56" spans="2:1006" outlineLevel="1" x14ac:dyDescent="0.55000000000000004">
      <c r="C56" s="11" t="s">
        <v>30</v>
      </c>
      <c r="D56" s="11" t="s">
        <v>10</v>
      </c>
      <c r="E56" s="27">
        <f>Input!E25</f>
        <v>0.21</v>
      </c>
      <c r="H56" s="14">
        <f t="shared" ref="H56:AB56" si="32">$E$56*H5</f>
        <v>0</v>
      </c>
      <c r="I56" s="14">
        <f t="shared" si="32"/>
        <v>0.21</v>
      </c>
      <c r="J56" s="14">
        <f t="shared" si="32"/>
        <v>0.21</v>
      </c>
      <c r="K56" s="14">
        <f t="shared" si="32"/>
        <v>0.21</v>
      </c>
      <c r="L56" s="14">
        <f t="shared" si="32"/>
        <v>0.21</v>
      </c>
      <c r="M56" s="14">
        <f t="shared" si="32"/>
        <v>0.21</v>
      </c>
      <c r="N56" s="14">
        <f t="shared" si="32"/>
        <v>0.21</v>
      </c>
      <c r="O56" s="14">
        <f t="shared" si="32"/>
        <v>0.21</v>
      </c>
      <c r="P56" s="14">
        <f t="shared" si="32"/>
        <v>0.21</v>
      </c>
      <c r="Q56" s="14">
        <f t="shared" si="32"/>
        <v>0.21</v>
      </c>
      <c r="R56" s="14">
        <f t="shared" si="32"/>
        <v>0.21</v>
      </c>
      <c r="S56" s="14">
        <f t="shared" si="32"/>
        <v>0.21</v>
      </c>
      <c r="T56" s="14">
        <f t="shared" si="32"/>
        <v>0.21</v>
      </c>
      <c r="U56" s="14">
        <f t="shared" si="32"/>
        <v>0.21</v>
      </c>
      <c r="V56" s="14">
        <f t="shared" si="32"/>
        <v>0.21</v>
      </c>
      <c r="W56" s="14">
        <f t="shared" si="32"/>
        <v>0.21</v>
      </c>
      <c r="X56" s="14">
        <f t="shared" si="32"/>
        <v>0.21</v>
      </c>
      <c r="Y56" s="14">
        <f t="shared" si="32"/>
        <v>0.21</v>
      </c>
      <c r="Z56" s="14">
        <f t="shared" si="32"/>
        <v>0.21</v>
      </c>
      <c r="AA56" s="14">
        <f t="shared" si="32"/>
        <v>0.21</v>
      </c>
      <c r="AB56" s="14">
        <f t="shared" si="32"/>
        <v>0.21</v>
      </c>
    </row>
    <row r="57" spans="2:1006" outlineLevel="1" x14ac:dyDescent="0.55000000000000004">
      <c r="C57" s="11" t="s">
        <v>78</v>
      </c>
      <c r="D57" s="11" t="s">
        <v>26</v>
      </c>
      <c r="F57" s="21">
        <f>SUM(H57:AB57)</f>
        <v>15639183.094997402</v>
      </c>
      <c r="G57" s="32"/>
      <c r="H57" s="32">
        <f>H56*H53</f>
        <v>0</v>
      </c>
      <c r="I57" s="32">
        <f t="shared" ref="I57:AB57" si="33">I56*I53</f>
        <v>-1706525.625</v>
      </c>
      <c r="J57" s="32">
        <f t="shared" si="33"/>
        <v>-1680047.7536718752</v>
      </c>
      <c r="K57" s="32">
        <f t="shared" si="33"/>
        <v>-1653056.2574886035</v>
      </c>
      <c r="L57" s="32">
        <f t="shared" si="33"/>
        <v>-1625540.8079521898</v>
      </c>
      <c r="M57" s="32">
        <f t="shared" si="33"/>
        <v>-1597490.8726082672</v>
      </c>
      <c r="N57" s="32">
        <f t="shared" si="33"/>
        <v>1371104.289018349</v>
      </c>
      <c r="O57" s="32">
        <f t="shared" si="33"/>
        <v>1400255.6295687344</v>
      </c>
      <c r="P57" s="32">
        <f t="shared" si="33"/>
        <v>1429974.3180771584</v>
      </c>
      <c r="Q57" s="32">
        <f t="shared" si="33"/>
        <v>1460271.7442822435</v>
      </c>
      <c r="R57" s="32">
        <f t="shared" si="33"/>
        <v>1491159.5230236605</v>
      </c>
      <c r="S57" s="32">
        <f t="shared" si="33"/>
        <v>1522649.4987260508</v>
      </c>
      <c r="T57" s="32">
        <f t="shared" si="33"/>
        <v>1554753.7499719139</v>
      </c>
      <c r="U57" s="32">
        <f t="shared" si="33"/>
        <v>1587484.5941652267</v>
      </c>
      <c r="V57" s="32">
        <f t="shared" si="33"/>
        <v>1620854.5922875996</v>
      </c>
      <c r="W57" s="32">
        <f t="shared" si="33"/>
        <v>1654876.5537488132</v>
      </c>
      <c r="X57" s="32">
        <f t="shared" si="33"/>
        <v>1689563.5413336011</v>
      </c>
      <c r="Y57" s="32">
        <f t="shared" si="33"/>
        <v>1724928.8762466034</v>
      </c>
      <c r="Z57" s="32">
        <f t="shared" si="33"/>
        <v>1760986.1432574329</v>
      </c>
      <c r="AA57" s="32">
        <f t="shared" si="33"/>
        <v>1797749.1959478536</v>
      </c>
      <c r="AB57" s="32">
        <f t="shared" si="33"/>
        <v>1835232.1620630955</v>
      </c>
    </row>
    <row r="58" spans="2:1006" outlineLevel="1" x14ac:dyDescent="0.55000000000000004"/>
    <row r="59" spans="2:1006" outlineLevel="1" x14ac:dyDescent="0.55000000000000004">
      <c r="C59" s="11" t="s">
        <v>79</v>
      </c>
      <c r="D59" s="11" t="s">
        <v>26</v>
      </c>
      <c r="H59" s="32">
        <f>H44-H57</f>
        <v>-70000000</v>
      </c>
      <c r="I59" s="32">
        <f t="shared" ref="I59:AB59" si="34">I44-I57</f>
        <v>7580213.125</v>
      </c>
      <c r="J59" s="32">
        <f t="shared" si="34"/>
        <v>7679820.3552343743</v>
      </c>
      <c r="K59" s="32">
        <f t="shared" si="34"/>
        <v>7781359.7932571582</v>
      </c>
      <c r="L59" s="32">
        <f t="shared" si="34"/>
        <v>7884870.2938941428</v>
      </c>
      <c r="M59" s="32">
        <f t="shared" si="34"/>
        <v>7990391.4792355653</v>
      </c>
      <c r="N59" s="32">
        <f t="shared" si="34"/>
        <v>5157963.7539261701</v>
      </c>
      <c r="O59" s="32">
        <f t="shared" si="34"/>
        <v>5267628.3207585728</v>
      </c>
      <c r="P59" s="32">
        <f t="shared" si="34"/>
        <v>5379427.1965759778</v>
      </c>
      <c r="Q59" s="32">
        <f t="shared" si="34"/>
        <v>5493403.2284903442</v>
      </c>
      <c r="R59" s="32">
        <f t="shared" si="34"/>
        <v>5609600.1104223421</v>
      </c>
      <c r="S59" s="32">
        <f t="shared" si="34"/>
        <v>5728062.3999694288</v>
      </c>
      <c r="T59" s="32">
        <f t="shared" si="34"/>
        <v>5848835.5356086288</v>
      </c>
      <c r="U59" s="32">
        <f t="shared" si="34"/>
        <v>5971965.8542406149</v>
      </c>
      <c r="V59" s="32">
        <f t="shared" si="34"/>
        <v>6097500.6090819221</v>
      </c>
      <c r="W59" s="32">
        <f t="shared" si="34"/>
        <v>6225487.9879122023</v>
      </c>
      <c r="X59" s="32">
        <f t="shared" si="34"/>
        <v>6355977.131683548</v>
      </c>
      <c r="Y59" s="32">
        <f t="shared" si="34"/>
        <v>6489018.1534991274</v>
      </c>
      <c r="Z59" s="32">
        <f t="shared" si="34"/>
        <v>6624662.1579684382</v>
      </c>
      <c r="AA59" s="32">
        <f t="shared" si="34"/>
        <v>6762961.2609466873</v>
      </c>
      <c r="AB59" s="32">
        <f t="shared" si="34"/>
        <v>6903968.6096659303</v>
      </c>
    </row>
    <row r="60" spans="2:1006" outlineLevel="1" x14ac:dyDescent="0.55000000000000004">
      <c r="C60" s="11" t="s">
        <v>80</v>
      </c>
      <c r="D60" s="11" t="s">
        <v>10</v>
      </c>
      <c r="E60" s="13">
        <f>IRR(H59:AB59)</f>
        <v>6.9581306648780705E-2</v>
      </c>
    </row>
    <row r="61" spans="2:1006" outlineLevel="1" x14ac:dyDescent="0.55000000000000004"/>
    <row r="62" spans="2:1006" x14ac:dyDescent="0.55000000000000004">
      <c r="B62" s="16" t="s">
        <v>82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  <c r="NH62" s="16"/>
      <c r="NI62" s="16"/>
      <c r="NJ62" s="16"/>
      <c r="NK62" s="16"/>
      <c r="NL62" s="16"/>
      <c r="NM62" s="16"/>
      <c r="NN62" s="16"/>
      <c r="NO62" s="16"/>
      <c r="NP62" s="16"/>
      <c r="NQ62" s="16"/>
      <c r="NR62" s="16"/>
      <c r="NS62" s="16"/>
      <c r="NT62" s="16"/>
      <c r="NU62" s="16"/>
      <c r="NV62" s="16"/>
      <c r="NW62" s="16"/>
      <c r="NX62" s="16"/>
      <c r="NY62" s="16"/>
      <c r="NZ62" s="16"/>
      <c r="OA62" s="16"/>
      <c r="OB62" s="16"/>
      <c r="OC62" s="16"/>
      <c r="OD62" s="16"/>
      <c r="OE62" s="16"/>
      <c r="OF62" s="16"/>
      <c r="OG62" s="16"/>
      <c r="OH62" s="16"/>
      <c r="OI62" s="16"/>
      <c r="OJ62" s="16"/>
      <c r="OK62" s="16"/>
      <c r="OL62" s="16"/>
      <c r="OM62" s="16"/>
      <c r="ON62" s="16"/>
      <c r="OO62" s="16"/>
      <c r="OP62" s="16"/>
      <c r="OQ62" s="16"/>
      <c r="OR62" s="16"/>
      <c r="OS62" s="16"/>
      <c r="OT62" s="16"/>
      <c r="OU62" s="16"/>
      <c r="OV62" s="16"/>
      <c r="OW62" s="16"/>
      <c r="OX62" s="16"/>
      <c r="OY62" s="16"/>
      <c r="OZ62" s="16"/>
      <c r="PA62" s="16"/>
      <c r="PB62" s="16"/>
      <c r="PC62" s="16"/>
      <c r="PD62" s="16"/>
      <c r="PE62" s="16"/>
      <c r="PF62" s="16"/>
      <c r="PG62" s="16"/>
      <c r="PH62" s="16"/>
      <c r="PI62" s="16"/>
      <c r="PJ62" s="16"/>
      <c r="PK62" s="16"/>
      <c r="PL62" s="16"/>
      <c r="PM62" s="16"/>
      <c r="PN62" s="16"/>
      <c r="PO62" s="16"/>
      <c r="PP62" s="16"/>
      <c r="PQ62" s="16"/>
      <c r="PR62" s="16"/>
      <c r="PS62" s="16"/>
      <c r="PT62" s="16"/>
      <c r="PU62" s="16"/>
      <c r="PV62" s="16"/>
      <c r="PW62" s="16"/>
      <c r="PX62" s="16"/>
      <c r="PY62" s="16"/>
      <c r="PZ62" s="16"/>
      <c r="QA62" s="16"/>
      <c r="QB62" s="16"/>
      <c r="QC62" s="16"/>
      <c r="QD62" s="16"/>
      <c r="QE62" s="16"/>
      <c r="QF62" s="16"/>
      <c r="QG62" s="16"/>
      <c r="QH62" s="16"/>
      <c r="QI62" s="16"/>
      <c r="QJ62" s="16"/>
      <c r="QK62" s="16"/>
      <c r="QL62" s="16"/>
      <c r="QM62" s="16"/>
      <c r="QN62" s="16"/>
      <c r="QO62" s="16"/>
      <c r="QP62" s="16"/>
      <c r="QQ62" s="16"/>
      <c r="QR62" s="16"/>
      <c r="QS62" s="16"/>
      <c r="QT62" s="16"/>
      <c r="QU62" s="16"/>
      <c r="QV62" s="16"/>
      <c r="QW62" s="16"/>
      <c r="QX62" s="16"/>
      <c r="QY62" s="16"/>
      <c r="QZ62" s="16"/>
      <c r="RA62" s="16"/>
      <c r="RB62" s="16"/>
      <c r="RC62" s="16"/>
      <c r="RD62" s="16"/>
      <c r="RE62" s="16"/>
      <c r="RF62" s="16"/>
      <c r="RG62" s="16"/>
      <c r="RH62" s="16"/>
      <c r="RI62" s="16"/>
      <c r="RJ62" s="16"/>
      <c r="RK62" s="16"/>
      <c r="RL62" s="16"/>
      <c r="RM62" s="16"/>
      <c r="RN62" s="16"/>
      <c r="RO62" s="16"/>
      <c r="RP62" s="16"/>
      <c r="RQ62" s="16"/>
      <c r="RR62" s="16"/>
      <c r="RS62" s="16"/>
      <c r="RT62" s="16"/>
      <c r="RU62" s="16"/>
      <c r="RV62" s="16"/>
      <c r="RW62" s="16"/>
      <c r="RX62" s="16"/>
      <c r="RY62" s="16"/>
      <c r="RZ62" s="16"/>
      <c r="SA62" s="16"/>
      <c r="SB62" s="16"/>
      <c r="SC62" s="16"/>
      <c r="SD62" s="16"/>
      <c r="SE62" s="16"/>
      <c r="SF62" s="16"/>
      <c r="SG62" s="16"/>
      <c r="SH62" s="16"/>
      <c r="SI62" s="16"/>
      <c r="SJ62" s="16"/>
      <c r="SK62" s="16"/>
      <c r="SL62" s="16"/>
      <c r="SM62" s="16"/>
      <c r="SN62" s="16"/>
      <c r="SO62" s="16"/>
      <c r="SP62" s="16"/>
      <c r="SQ62" s="16"/>
      <c r="SR62" s="16"/>
      <c r="SS62" s="16"/>
      <c r="ST62" s="16"/>
      <c r="SU62" s="16"/>
      <c r="SV62" s="16"/>
      <c r="SW62" s="16"/>
      <c r="SX62" s="16"/>
      <c r="SY62" s="16"/>
      <c r="SZ62" s="16"/>
      <c r="TA62" s="16"/>
      <c r="TB62" s="16"/>
      <c r="TC62" s="16"/>
      <c r="TD62" s="16"/>
      <c r="TE62" s="16"/>
      <c r="TF62" s="16"/>
      <c r="TG62" s="16"/>
      <c r="TH62" s="16"/>
      <c r="TI62" s="16"/>
      <c r="TJ62" s="16"/>
      <c r="TK62" s="16"/>
      <c r="TL62" s="16"/>
      <c r="TM62" s="16"/>
      <c r="TN62" s="16"/>
      <c r="TO62" s="16"/>
      <c r="TP62" s="16"/>
      <c r="TQ62" s="16"/>
      <c r="TR62" s="16"/>
      <c r="TS62" s="16"/>
      <c r="TT62" s="16"/>
      <c r="TU62" s="16"/>
      <c r="TV62" s="16"/>
      <c r="TW62" s="16"/>
      <c r="TX62" s="16"/>
      <c r="TY62" s="16"/>
      <c r="TZ62" s="16"/>
      <c r="UA62" s="16"/>
      <c r="UB62" s="16"/>
      <c r="UC62" s="16"/>
      <c r="UD62" s="16"/>
      <c r="UE62" s="16"/>
      <c r="UF62" s="16"/>
      <c r="UG62" s="16"/>
      <c r="UH62" s="16"/>
      <c r="UI62" s="16"/>
      <c r="UJ62" s="16"/>
      <c r="UK62" s="16"/>
      <c r="UL62" s="16"/>
      <c r="UM62" s="16"/>
      <c r="UN62" s="16"/>
      <c r="UO62" s="16"/>
      <c r="UP62" s="16"/>
      <c r="UQ62" s="16"/>
      <c r="UR62" s="16"/>
      <c r="US62" s="16"/>
      <c r="UT62" s="16"/>
      <c r="UU62" s="16"/>
      <c r="UV62" s="16"/>
      <c r="UW62" s="16"/>
      <c r="UX62" s="16"/>
      <c r="UY62" s="16"/>
      <c r="UZ62" s="16"/>
      <c r="VA62" s="16"/>
      <c r="VB62" s="16"/>
      <c r="VC62" s="16"/>
      <c r="VD62" s="16"/>
      <c r="VE62" s="16"/>
      <c r="VF62" s="16"/>
      <c r="VG62" s="16"/>
      <c r="VH62" s="16"/>
      <c r="VI62" s="16"/>
      <c r="VJ62" s="16"/>
      <c r="VK62" s="16"/>
      <c r="VL62" s="16"/>
      <c r="VM62" s="16"/>
      <c r="VN62" s="16"/>
      <c r="VO62" s="16"/>
      <c r="VP62" s="16"/>
      <c r="VQ62" s="16"/>
      <c r="VR62" s="16"/>
      <c r="VS62" s="16"/>
      <c r="VT62" s="16"/>
      <c r="VU62" s="16"/>
      <c r="VV62" s="16"/>
      <c r="VW62" s="16"/>
      <c r="VX62" s="16"/>
      <c r="VY62" s="16"/>
      <c r="VZ62" s="16"/>
      <c r="WA62" s="16"/>
      <c r="WB62" s="16"/>
      <c r="WC62" s="16"/>
      <c r="WD62" s="16"/>
      <c r="WE62" s="16"/>
      <c r="WF62" s="16"/>
      <c r="WG62" s="16"/>
      <c r="WH62" s="16"/>
      <c r="WI62" s="16"/>
      <c r="WJ62" s="16"/>
      <c r="WK62" s="16"/>
      <c r="WL62" s="16"/>
      <c r="WM62" s="16"/>
      <c r="WN62" s="16"/>
      <c r="WO62" s="16"/>
      <c r="WP62" s="16"/>
      <c r="WQ62" s="16"/>
      <c r="WR62" s="16"/>
      <c r="WS62" s="16"/>
      <c r="WT62" s="16"/>
      <c r="WU62" s="16"/>
      <c r="WV62" s="16"/>
      <c r="WW62" s="16"/>
      <c r="WX62" s="16"/>
      <c r="WY62" s="16"/>
      <c r="WZ62" s="16"/>
      <c r="XA62" s="16"/>
      <c r="XB62" s="16"/>
      <c r="XC62" s="16"/>
      <c r="XD62" s="16"/>
      <c r="XE62" s="16"/>
      <c r="XF62" s="16"/>
      <c r="XG62" s="16"/>
      <c r="XH62" s="16"/>
      <c r="XI62" s="16"/>
      <c r="XJ62" s="16"/>
      <c r="XK62" s="16"/>
      <c r="XL62" s="16"/>
      <c r="XM62" s="16"/>
      <c r="XN62" s="16"/>
      <c r="XO62" s="16"/>
      <c r="XP62" s="16"/>
      <c r="XQ62" s="16"/>
      <c r="XR62" s="16"/>
      <c r="XS62" s="16"/>
      <c r="XT62" s="16"/>
      <c r="XU62" s="16"/>
      <c r="XV62" s="16"/>
      <c r="XW62" s="16"/>
      <c r="XX62" s="16"/>
      <c r="XY62" s="16"/>
      <c r="XZ62" s="16"/>
      <c r="YA62" s="16"/>
      <c r="YB62" s="16"/>
      <c r="YC62" s="16"/>
      <c r="YD62" s="16"/>
      <c r="YE62" s="16"/>
      <c r="YF62" s="16"/>
      <c r="YG62" s="16"/>
      <c r="YH62" s="16"/>
      <c r="YI62" s="16"/>
      <c r="YJ62" s="16"/>
      <c r="YK62" s="16"/>
      <c r="YL62" s="16"/>
      <c r="YM62" s="16"/>
      <c r="YN62" s="16"/>
      <c r="YO62" s="16"/>
      <c r="YP62" s="16"/>
      <c r="YQ62" s="16"/>
      <c r="YR62" s="16"/>
      <c r="YS62" s="16"/>
      <c r="YT62" s="16"/>
      <c r="YU62" s="16"/>
      <c r="YV62" s="16"/>
      <c r="YW62" s="16"/>
      <c r="YX62" s="16"/>
      <c r="YY62" s="16"/>
      <c r="YZ62" s="16"/>
      <c r="ZA62" s="16"/>
      <c r="ZB62" s="16"/>
      <c r="ZC62" s="16"/>
      <c r="ZD62" s="16"/>
      <c r="ZE62" s="16"/>
      <c r="ZF62" s="16"/>
      <c r="ZG62" s="16"/>
      <c r="ZH62" s="16"/>
      <c r="ZI62" s="16"/>
      <c r="ZJ62" s="16"/>
      <c r="ZK62" s="16"/>
      <c r="ZL62" s="16"/>
      <c r="ZM62" s="16"/>
      <c r="ZN62" s="16"/>
      <c r="ZO62" s="16"/>
      <c r="ZP62" s="16"/>
      <c r="ZQ62" s="16"/>
      <c r="ZR62" s="16"/>
      <c r="ZS62" s="16"/>
      <c r="ZT62" s="16"/>
      <c r="ZU62" s="16"/>
      <c r="ZV62" s="16"/>
      <c r="ZW62" s="16"/>
      <c r="ZX62" s="16"/>
      <c r="ZY62" s="16"/>
      <c r="ZZ62" s="16"/>
      <c r="AAA62" s="16"/>
      <c r="AAB62" s="16"/>
      <c r="AAC62" s="16"/>
      <c r="AAD62" s="16"/>
      <c r="AAE62" s="16"/>
      <c r="AAF62" s="16"/>
      <c r="AAG62" s="16"/>
      <c r="AAH62" s="16"/>
      <c r="AAI62" s="16"/>
      <c r="AAJ62" s="16"/>
      <c r="AAK62" s="16"/>
      <c r="AAL62" s="16"/>
      <c r="AAM62" s="16"/>
      <c r="AAN62" s="16"/>
      <c r="AAO62" s="16"/>
      <c r="AAP62" s="16"/>
      <c r="AAQ62" s="16"/>
      <c r="AAR62" s="16"/>
      <c r="AAS62" s="16"/>
      <c r="AAT62" s="16"/>
      <c r="AAU62" s="16"/>
      <c r="AAV62" s="16"/>
      <c r="AAW62" s="16"/>
      <c r="AAX62" s="16"/>
      <c r="AAY62" s="16"/>
      <c r="AAZ62" s="16"/>
      <c r="ABA62" s="16"/>
      <c r="ABB62" s="16"/>
      <c r="ABC62" s="16"/>
      <c r="ABD62" s="16"/>
      <c r="ABE62" s="16"/>
      <c r="ABF62" s="16"/>
      <c r="ABG62" s="16"/>
      <c r="ABH62" s="16"/>
      <c r="ABI62" s="16"/>
      <c r="ABJ62" s="16"/>
      <c r="ABK62" s="16"/>
      <c r="ABL62" s="16"/>
      <c r="ABM62" s="16"/>
      <c r="ABN62" s="16"/>
      <c r="ABO62" s="16"/>
      <c r="ABP62" s="16"/>
      <c r="ABQ62" s="16"/>
      <c r="ABR62" s="16"/>
      <c r="ABS62" s="16"/>
      <c r="ABT62" s="16"/>
      <c r="ABU62" s="16"/>
      <c r="ABV62" s="16"/>
      <c r="ABW62" s="16"/>
      <c r="ABX62" s="16"/>
      <c r="ABY62" s="16"/>
      <c r="ABZ62" s="16"/>
      <c r="ACA62" s="16"/>
      <c r="ACB62" s="16"/>
      <c r="ACC62" s="16"/>
      <c r="ACD62" s="16"/>
      <c r="ACE62" s="16"/>
      <c r="ACF62" s="16"/>
      <c r="ACG62" s="16"/>
      <c r="ACH62" s="16"/>
      <c r="ACI62" s="16"/>
      <c r="ACJ62" s="16"/>
      <c r="ACK62" s="16"/>
      <c r="ACL62" s="16"/>
      <c r="ACM62" s="16"/>
      <c r="ACN62" s="16"/>
      <c r="ACO62" s="16"/>
      <c r="ACP62" s="16"/>
      <c r="ACQ62" s="16"/>
      <c r="ACR62" s="16"/>
      <c r="ACS62" s="16"/>
      <c r="ACT62" s="16"/>
      <c r="ACU62" s="16"/>
      <c r="ACV62" s="16"/>
      <c r="ACW62" s="16"/>
      <c r="ACX62" s="16"/>
      <c r="ACY62" s="16"/>
      <c r="ACZ62" s="16"/>
      <c r="ADA62" s="16"/>
      <c r="ADB62" s="16"/>
      <c r="ADC62" s="16"/>
      <c r="ADD62" s="16"/>
      <c r="ADE62" s="16"/>
      <c r="ADF62" s="16"/>
      <c r="ADG62" s="16"/>
      <c r="ADH62" s="16"/>
      <c r="ADI62" s="16"/>
      <c r="ADJ62" s="16"/>
      <c r="ADK62" s="16"/>
      <c r="ADL62" s="16"/>
      <c r="ADM62" s="16"/>
      <c r="ADN62" s="16"/>
      <c r="ADO62" s="16"/>
      <c r="ADP62" s="16"/>
      <c r="ADQ62" s="16"/>
      <c r="ADR62" s="16"/>
      <c r="ADS62" s="16"/>
      <c r="ADT62" s="16"/>
      <c r="ADU62" s="16"/>
      <c r="ADV62" s="16"/>
      <c r="ADW62" s="16"/>
      <c r="ADX62" s="16"/>
      <c r="ADY62" s="16"/>
      <c r="ADZ62" s="16"/>
      <c r="AEA62" s="16"/>
      <c r="AEB62" s="16"/>
      <c r="AEC62" s="16"/>
      <c r="AED62" s="16"/>
      <c r="AEE62" s="16"/>
      <c r="AEF62" s="16"/>
      <c r="AEG62" s="16"/>
      <c r="AEH62" s="16"/>
      <c r="AEI62" s="16"/>
      <c r="AEJ62" s="16"/>
      <c r="AEK62" s="16"/>
      <c r="AEL62" s="16"/>
      <c r="AEM62" s="16"/>
      <c r="AEN62" s="16"/>
      <c r="AEO62" s="16"/>
      <c r="AEP62" s="16"/>
      <c r="AEQ62" s="16"/>
      <c r="AER62" s="16"/>
      <c r="AES62" s="16"/>
      <c r="AET62" s="16"/>
      <c r="AEU62" s="16"/>
      <c r="AEV62" s="16"/>
      <c r="AEW62" s="16"/>
      <c r="AEX62" s="16"/>
      <c r="AEY62" s="16"/>
      <c r="AEZ62" s="16"/>
      <c r="AFA62" s="16"/>
      <c r="AFB62" s="16"/>
      <c r="AFC62" s="16"/>
      <c r="AFD62" s="16"/>
      <c r="AFE62" s="16"/>
      <c r="AFF62" s="16"/>
      <c r="AFG62" s="16"/>
      <c r="AFH62" s="16"/>
      <c r="AFI62" s="16"/>
      <c r="AFJ62" s="16"/>
      <c r="AFK62" s="16"/>
      <c r="AFL62" s="16"/>
      <c r="AFM62" s="16"/>
      <c r="AFN62" s="16"/>
      <c r="AFO62" s="16"/>
      <c r="AFP62" s="16"/>
      <c r="AFQ62" s="16"/>
      <c r="AFR62" s="16"/>
      <c r="AFS62" s="16"/>
      <c r="AFT62" s="16"/>
      <c r="AFU62" s="16"/>
      <c r="AFV62" s="16"/>
      <c r="AFW62" s="16"/>
      <c r="AFX62" s="16"/>
      <c r="AFY62" s="16"/>
      <c r="AFZ62" s="16"/>
      <c r="AGA62" s="16"/>
      <c r="AGB62" s="16"/>
      <c r="AGC62" s="16"/>
      <c r="AGD62" s="16"/>
      <c r="AGE62" s="16"/>
      <c r="AGF62" s="16"/>
      <c r="AGG62" s="16"/>
      <c r="AGH62" s="16"/>
      <c r="AGI62" s="16"/>
      <c r="AGJ62" s="16"/>
      <c r="AGK62" s="16"/>
      <c r="AGL62" s="16"/>
      <c r="AGM62" s="16"/>
      <c r="AGN62" s="16"/>
      <c r="AGO62" s="16"/>
      <c r="AGP62" s="16"/>
      <c r="AGQ62" s="16"/>
      <c r="AGR62" s="16"/>
      <c r="AGS62" s="16"/>
      <c r="AGT62" s="16"/>
      <c r="AGU62" s="16"/>
      <c r="AGV62" s="16"/>
      <c r="AGW62" s="16"/>
      <c r="AGX62" s="16"/>
      <c r="AGY62" s="16"/>
      <c r="AGZ62" s="16"/>
      <c r="AHA62" s="16"/>
      <c r="AHB62" s="16"/>
      <c r="AHC62" s="16"/>
      <c r="AHD62" s="16"/>
      <c r="AHE62" s="16"/>
      <c r="AHF62" s="16"/>
      <c r="AHG62" s="16"/>
      <c r="AHH62" s="16"/>
      <c r="AHI62" s="16"/>
      <c r="AHJ62" s="16"/>
      <c r="AHK62" s="16"/>
      <c r="AHL62" s="16"/>
      <c r="AHM62" s="16"/>
      <c r="AHN62" s="16"/>
      <c r="AHO62" s="16"/>
      <c r="AHP62" s="16"/>
      <c r="AHQ62" s="16"/>
      <c r="AHR62" s="16"/>
      <c r="AHS62" s="16"/>
      <c r="AHT62" s="16"/>
      <c r="AHU62" s="16"/>
      <c r="AHV62" s="16"/>
      <c r="AHW62" s="16"/>
      <c r="AHX62" s="16"/>
      <c r="AHY62" s="16"/>
      <c r="AHZ62" s="16"/>
      <c r="AIA62" s="16"/>
      <c r="AIB62" s="16"/>
      <c r="AIC62" s="16"/>
      <c r="AID62" s="16"/>
      <c r="AIE62" s="16"/>
      <c r="AIF62" s="16"/>
      <c r="AIG62" s="16"/>
      <c r="AIH62" s="16"/>
      <c r="AII62" s="16"/>
      <c r="AIJ62" s="16"/>
      <c r="AIK62" s="16"/>
      <c r="AIL62" s="16"/>
      <c r="AIM62" s="16"/>
      <c r="AIN62" s="16"/>
      <c r="AIO62" s="16"/>
      <c r="AIP62" s="16"/>
      <c r="AIQ62" s="16"/>
      <c r="AIR62" s="16"/>
      <c r="AIS62" s="16"/>
      <c r="AIT62" s="16"/>
      <c r="AIU62" s="16"/>
      <c r="AIV62" s="16"/>
      <c r="AIW62" s="16"/>
      <c r="AIX62" s="16"/>
      <c r="AIY62" s="16"/>
      <c r="AIZ62" s="16"/>
      <c r="AJA62" s="16"/>
      <c r="AJB62" s="16"/>
      <c r="AJC62" s="16"/>
      <c r="AJD62" s="16"/>
      <c r="AJE62" s="16"/>
      <c r="AJF62" s="16"/>
      <c r="AJG62" s="16"/>
      <c r="AJH62" s="16"/>
      <c r="AJI62" s="16"/>
      <c r="AJJ62" s="16"/>
      <c r="AJK62" s="16"/>
      <c r="AJL62" s="16"/>
      <c r="AJM62" s="16"/>
      <c r="AJN62" s="16"/>
      <c r="AJO62" s="16"/>
      <c r="AJP62" s="16"/>
      <c r="AJQ62" s="16"/>
      <c r="AJR62" s="16"/>
      <c r="AJS62" s="16"/>
      <c r="AJT62" s="16"/>
      <c r="AJU62" s="16"/>
      <c r="AJV62" s="16"/>
      <c r="AJW62" s="16"/>
      <c r="AJX62" s="16"/>
      <c r="AJY62" s="16"/>
      <c r="AJZ62" s="16"/>
      <c r="AKA62" s="16"/>
      <c r="AKB62" s="16"/>
      <c r="AKC62" s="16"/>
      <c r="AKD62" s="16"/>
      <c r="AKE62" s="16"/>
      <c r="AKF62" s="16"/>
      <c r="AKG62" s="16"/>
      <c r="AKH62" s="16"/>
      <c r="AKI62" s="16"/>
      <c r="AKJ62" s="16"/>
      <c r="AKK62" s="16"/>
      <c r="AKL62" s="16"/>
      <c r="AKM62" s="16"/>
      <c r="AKN62" s="16"/>
      <c r="AKO62" s="16"/>
      <c r="AKP62" s="16"/>
      <c r="AKQ62" s="16"/>
      <c r="AKR62" s="16"/>
      <c r="AKS62" s="16"/>
      <c r="AKT62" s="16"/>
      <c r="AKU62" s="16"/>
      <c r="AKV62" s="16"/>
      <c r="AKW62" s="16"/>
      <c r="AKX62" s="16"/>
      <c r="AKY62" s="16"/>
      <c r="AKZ62" s="16"/>
      <c r="ALA62" s="16"/>
      <c r="ALB62" s="16"/>
      <c r="ALC62" s="16"/>
      <c r="ALD62" s="16"/>
      <c r="ALE62" s="16"/>
      <c r="ALF62" s="16"/>
      <c r="ALG62" s="16"/>
      <c r="ALH62" s="16"/>
      <c r="ALI62" s="16"/>
      <c r="ALJ62" s="16"/>
      <c r="ALK62" s="16"/>
      <c r="ALL62" s="16"/>
      <c r="ALM62" s="16"/>
      <c r="ALN62" s="16"/>
      <c r="ALO62" s="16"/>
      <c r="ALP62" s="16"/>
      <c r="ALQ62" s="16"/>
      <c r="ALR62" s="16"/>
    </row>
    <row r="63" spans="2:1006" outlineLevel="1" x14ac:dyDescent="0.55000000000000004">
      <c r="C63" s="11" t="s">
        <v>83</v>
      </c>
      <c r="D63" s="11" t="s">
        <v>51</v>
      </c>
      <c r="E63" s="26">
        <f>Input!E29</f>
        <v>20</v>
      </c>
      <c r="H63" s="11" t="b">
        <f t="shared" ref="H63:AB63" si="35">AND(H3&lt;=$E$63,H5)</f>
        <v>0</v>
      </c>
      <c r="I63" s="11" t="b">
        <f t="shared" si="35"/>
        <v>1</v>
      </c>
      <c r="J63" s="11" t="b">
        <f t="shared" si="35"/>
        <v>1</v>
      </c>
      <c r="K63" s="11" t="b">
        <f t="shared" si="35"/>
        <v>1</v>
      </c>
      <c r="L63" s="11" t="b">
        <f t="shared" si="35"/>
        <v>1</v>
      </c>
      <c r="M63" s="11" t="b">
        <f t="shared" si="35"/>
        <v>1</v>
      </c>
      <c r="N63" s="11" t="b">
        <f t="shared" si="35"/>
        <v>1</v>
      </c>
      <c r="O63" s="11" t="b">
        <f t="shared" si="35"/>
        <v>1</v>
      </c>
      <c r="P63" s="11" t="b">
        <f t="shared" si="35"/>
        <v>1</v>
      </c>
      <c r="Q63" s="11" t="b">
        <f t="shared" si="35"/>
        <v>1</v>
      </c>
      <c r="R63" s="11" t="b">
        <f t="shared" si="35"/>
        <v>1</v>
      </c>
      <c r="S63" s="11" t="b">
        <f t="shared" si="35"/>
        <v>1</v>
      </c>
      <c r="T63" s="11" t="b">
        <f t="shared" si="35"/>
        <v>1</v>
      </c>
      <c r="U63" s="11" t="b">
        <f t="shared" si="35"/>
        <v>1</v>
      </c>
      <c r="V63" s="11" t="b">
        <f t="shared" si="35"/>
        <v>1</v>
      </c>
      <c r="W63" s="11" t="b">
        <f t="shared" si="35"/>
        <v>1</v>
      </c>
      <c r="X63" s="11" t="b">
        <f t="shared" si="35"/>
        <v>1</v>
      </c>
      <c r="Y63" s="11" t="b">
        <f t="shared" si="35"/>
        <v>1</v>
      </c>
      <c r="Z63" s="11" t="b">
        <f t="shared" si="35"/>
        <v>1</v>
      </c>
      <c r="AA63" s="11" t="b">
        <f t="shared" si="35"/>
        <v>1</v>
      </c>
      <c r="AB63" s="11" t="b">
        <f t="shared" si="35"/>
        <v>1</v>
      </c>
    </row>
    <row r="64" spans="2:1006" outlineLevel="1" x14ac:dyDescent="0.55000000000000004"/>
    <row r="65" spans="2:1006" outlineLevel="1" x14ac:dyDescent="0.55000000000000004">
      <c r="C65" s="11" t="s">
        <v>84</v>
      </c>
      <c r="D65" s="11" t="s">
        <v>26</v>
      </c>
      <c r="H65" s="32">
        <f>H40*H63</f>
        <v>0</v>
      </c>
      <c r="I65" s="32">
        <f t="shared" ref="I65:AB65" si="36">I40*I63</f>
        <v>5873687.5</v>
      </c>
      <c r="J65" s="32">
        <f t="shared" si="36"/>
        <v>5999772.6015624991</v>
      </c>
      <c r="K65" s="32">
        <f t="shared" si="36"/>
        <v>6128303.5357685545</v>
      </c>
      <c r="L65" s="32">
        <f t="shared" si="36"/>
        <v>6259329.485941953</v>
      </c>
      <c r="M65" s="32">
        <f t="shared" si="36"/>
        <v>6392900.6066272985</v>
      </c>
      <c r="N65" s="32">
        <f t="shared" si="36"/>
        <v>6529068.0429445188</v>
      </c>
      <c r="O65" s="32">
        <f t="shared" si="36"/>
        <v>6667883.950327307</v>
      </c>
      <c r="P65" s="32">
        <f t="shared" si="36"/>
        <v>6809401.514653136</v>
      </c>
      <c r="Q65" s="32">
        <f t="shared" si="36"/>
        <v>6953674.972772588</v>
      </c>
      <c r="R65" s="32">
        <f t="shared" si="36"/>
        <v>7100759.6334460024</v>
      </c>
      <c r="S65" s="32">
        <f t="shared" si="36"/>
        <v>7250711.8986954801</v>
      </c>
      <c r="T65" s="32">
        <f t="shared" si="36"/>
        <v>7403589.2855805429</v>
      </c>
      <c r="U65" s="32">
        <f t="shared" si="36"/>
        <v>7559450.4484058414</v>
      </c>
      <c r="V65" s="32">
        <f t="shared" si="36"/>
        <v>7718355.2013695221</v>
      </c>
      <c r="W65" s="32">
        <f t="shared" si="36"/>
        <v>7880364.5416610157</v>
      </c>
      <c r="X65" s="32">
        <f t="shared" si="36"/>
        <v>8045540.6730171489</v>
      </c>
      <c r="Y65" s="32">
        <f t="shared" si="36"/>
        <v>8213947.0297457306</v>
      </c>
      <c r="Z65" s="32">
        <f t="shared" si="36"/>
        <v>8385648.3012258708</v>
      </c>
      <c r="AA65" s="32">
        <f t="shared" si="36"/>
        <v>8560710.4568945412</v>
      </c>
      <c r="AB65" s="32">
        <f t="shared" si="36"/>
        <v>8739200.771729026</v>
      </c>
    </row>
    <row r="66" spans="2:1006" outlineLevel="1" x14ac:dyDescent="0.55000000000000004">
      <c r="C66" s="11" t="s">
        <v>92</v>
      </c>
      <c r="D66" s="11" t="s">
        <v>26</v>
      </c>
      <c r="E66" s="26">
        <f>Input!E30</f>
        <v>1.35</v>
      </c>
      <c r="H66" s="32" t="b">
        <f>IF(H63,H65/$E$66)</f>
        <v>0</v>
      </c>
      <c r="I66" s="32">
        <f t="shared" ref="I66:AB66" si="37">IF(I63,I65/$E$66)</f>
        <v>4350879.6296296297</v>
      </c>
      <c r="J66" s="32">
        <f t="shared" si="37"/>
        <v>4444276.0011574067</v>
      </c>
      <c r="K66" s="32">
        <f t="shared" si="37"/>
        <v>4539484.1005692994</v>
      </c>
      <c r="L66" s="32">
        <f t="shared" si="37"/>
        <v>4636540.3599570021</v>
      </c>
      <c r="M66" s="32">
        <f t="shared" si="37"/>
        <v>4735481.9308350356</v>
      </c>
      <c r="N66" s="32">
        <f t="shared" si="37"/>
        <v>4836346.698477421</v>
      </c>
      <c r="O66" s="32">
        <f t="shared" si="37"/>
        <v>4939173.296538746</v>
      </c>
      <c r="P66" s="32">
        <f t="shared" si="37"/>
        <v>5044001.1219652854</v>
      </c>
      <c r="Q66" s="32">
        <f t="shared" si="37"/>
        <v>5150870.3502019169</v>
      </c>
      <c r="R66" s="32">
        <f t="shared" si="37"/>
        <v>5259821.9507007422</v>
      </c>
      <c r="S66" s="32">
        <f t="shared" si="37"/>
        <v>5370897.7027373919</v>
      </c>
      <c r="T66" s="32">
        <f t="shared" si="37"/>
        <v>5484140.2115411423</v>
      </c>
      <c r="U66" s="32">
        <f t="shared" si="37"/>
        <v>5599592.924745067</v>
      </c>
      <c r="V66" s="32">
        <f t="shared" si="37"/>
        <v>5717300.1491626082</v>
      </c>
      <c r="W66" s="32">
        <f t="shared" si="37"/>
        <v>5837307.0678970478</v>
      </c>
      <c r="X66" s="32">
        <f t="shared" si="37"/>
        <v>5959659.7577904798</v>
      </c>
      <c r="Y66" s="32">
        <f t="shared" si="37"/>
        <v>6084405.2072190596</v>
      </c>
      <c r="Z66" s="32">
        <f t="shared" si="37"/>
        <v>6211591.3342413856</v>
      </c>
      <c r="AA66" s="32">
        <f t="shared" si="37"/>
        <v>6341267.0051070675</v>
      </c>
      <c r="AB66" s="32">
        <f t="shared" si="37"/>
        <v>6473482.0531326113</v>
      </c>
    </row>
    <row r="67" spans="2:1006" outlineLevel="1" x14ac:dyDescent="0.55000000000000004">
      <c r="C67" s="11" t="s">
        <v>93</v>
      </c>
      <c r="D67" s="11" t="s">
        <v>10</v>
      </c>
      <c r="E67" s="24">
        <f>Input!E31</f>
        <v>6.5000000000000002E-2</v>
      </c>
      <c r="H67" s="40">
        <f>H63*$E$67</f>
        <v>0</v>
      </c>
      <c r="I67" s="40">
        <f t="shared" ref="I67:AB67" si="38">I63*$E$67</f>
        <v>6.5000000000000002E-2</v>
      </c>
      <c r="J67" s="40">
        <f t="shared" si="38"/>
        <v>6.5000000000000002E-2</v>
      </c>
      <c r="K67" s="40">
        <f t="shared" si="38"/>
        <v>6.5000000000000002E-2</v>
      </c>
      <c r="L67" s="40">
        <f t="shared" si="38"/>
        <v>6.5000000000000002E-2</v>
      </c>
      <c r="M67" s="40">
        <f t="shared" si="38"/>
        <v>6.5000000000000002E-2</v>
      </c>
      <c r="N67" s="40">
        <f t="shared" si="38"/>
        <v>6.5000000000000002E-2</v>
      </c>
      <c r="O67" s="40">
        <f t="shared" si="38"/>
        <v>6.5000000000000002E-2</v>
      </c>
      <c r="P67" s="40">
        <f t="shared" si="38"/>
        <v>6.5000000000000002E-2</v>
      </c>
      <c r="Q67" s="40">
        <f t="shared" si="38"/>
        <v>6.5000000000000002E-2</v>
      </c>
      <c r="R67" s="40">
        <f t="shared" si="38"/>
        <v>6.5000000000000002E-2</v>
      </c>
      <c r="S67" s="40">
        <f t="shared" si="38"/>
        <v>6.5000000000000002E-2</v>
      </c>
      <c r="T67" s="40">
        <f t="shared" si="38"/>
        <v>6.5000000000000002E-2</v>
      </c>
      <c r="U67" s="40">
        <f t="shared" si="38"/>
        <v>6.5000000000000002E-2</v>
      </c>
      <c r="V67" s="40">
        <f t="shared" si="38"/>
        <v>6.5000000000000002E-2</v>
      </c>
      <c r="W67" s="40">
        <f t="shared" si="38"/>
        <v>6.5000000000000002E-2</v>
      </c>
      <c r="X67" s="40">
        <f t="shared" si="38"/>
        <v>6.5000000000000002E-2</v>
      </c>
      <c r="Y67" s="40">
        <f t="shared" si="38"/>
        <v>6.5000000000000002E-2</v>
      </c>
      <c r="Z67" s="40">
        <f t="shared" si="38"/>
        <v>6.5000000000000002E-2</v>
      </c>
      <c r="AA67" s="40">
        <f t="shared" si="38"/>
        <v>6.5000000000000002E-2</v>
      </c>
      <c r="AB67" s="40">
        <f t="shared" si="38"/>
        <v>6.5000000000000002E-2</v>
      </c>
    </row>
    <row r="68" spans="2:1006" outlineLevel="1" x14ac:dyDescent="0.55000000000000004">
      <c r="C68" s="11" t="s">
        <v>94</v>
      </c>
      <c r="D68" s="11" t="s">
        <v>26</v>
      </c>
      <c r="E68" s="32">
        <f>NPV(E67,H66:AB66)</f>
        <v>56471167.467703998</v>
      </c>
    </row>
    <row r="69" spans="2:1006" outlineLevel="1" x14ac:dyDescent="0.55000000000000004"/>
    <row r="70" spans="2:1006" outlineLevel="1" x14ac:dyDescent="0.55000000000000004">
      <c r="C70" s="11" t="s">
        <v>95</v>
      </c>
      <c r="D70" s="11" t="s">
        <v>26</v>
      </c>
      <c r="E70" s="32"/>
      <c r="F70" s="32"/>
      <c r="G70" s="32"/>
      <c r="H70" s="32">
        <f>G73</f>
        <v>0</v>
      </c>
      <c r="I70" s="32">
        <f t="shared" ref="I70:AB70" si="39">H73</f>
        <v>56471167.467703998</v>
      </c>
      <c r="J70" s="32">
        <f t="shared" si="39"/>
        <v>55790913.723475128</v>
      </c>
      <c r="K70" s="32">
        <f t="shared" si="39"/>
        <v>54973047.114343606</v>
      </c>
      <c r="L70" s="32">
        <f t="shared" si="39"/>
        <v>54006811.076206639</v>
      </c>
      <c r="M70" s="32">
        <f t="shared" si="39"/>
        <v>52880713.43620307</v>
      </c>
      <c r="N70" s="32">
        <f t="shared" si="39"/>
        <v>51582477.878721237</v>
      </c>
      <c r="O70" s="32">
        <f t="shared" si="39"/>
        <v>50098992.242360696</v>
      </c>
      <c r="P70" s="32">
        <f t="shared" si="39"/>
        <v>48416253.441575393</v>
      </c>
      <c r="Q70" s="32">
        <f t="shared" si="39"/>
        <v>46519308.793312505</v>
      </c>
      <c r="R70" s="32">
        <f t="shared" si="39"/>
        <v>44392193.5146759</v>
      </c>
      <c r="S70" s="32">
        <f t="shared" si="39"/>
        <v>42017864.142429091</v>
      </c>
      <c r="T70" s="32">
        <f t="shared" si="39"/>
        <v>39378127.608949587</v>
      </c>
      <c r="U70" s="32">
        <f t="shared" si="39"/>
        <v>36453565.691990167</v>
      </c>
      <c r="V70" s="32">
        <f t="shared" si="39"/>
        <v>33223454.53722446</v>
      </c>
      <c r="W70" s="32">
        <f t="shared" si="39"/>
        <v>29665678.932981443</v>
      </c>
      <c r="X70" s="32">
        <f t="shared" si="39"/>
        <v>25756640.995728187</v>
      </c>
      <c r="Y70" s="32">
        <f t="shared" si="39"/>
        <v>21471162.902660042</v>
      </c>
      <c r="Z70" s="32">
        <f t="shared" si="39"/>
        <v>16782383.284113884</v>
      </c>
      <c r="AA70" s="32">
        <f t="shared" si="39"/>
        <v>11661646.863339901</v>
      </c>
      <c r="AB70" s="32">
        <f t="shared" si="39"/>
        <v>6078386.9043499269</v>
      </c>
    </row>
    <row r="71" spans="2:1006" outlineLevel="1" x14ac:dyDescent="0.55000000000000004">
      <c r="C71" s="11" t="s">
        <v>96</v>
      </c>
      <c r="D71" s="11" t="s">
        <v>26</v>
      </c>
      <c r="E71" s="32">
        <f>E68</f>
        <v>56471167.467703998</v>
      </c>
      <c r="F71" s="32"/>
      <c r="G71" s="32"/>
      <c r="H71" s="32">
        <f t="shared" ref="H71:AB71" si="40">$E$71*H4</f>
        <v>56471167.467703998</v>
      </c>
      <c r="I71" s="32">
        <f t="shared" si="40"/>
        <v>0</v>
      </c>
      <c r="J71" s="32">
        <f t="shared" si="40"/>
        <v>0</v>
      </c>
      <c r="K71" s="32">
        <f t="shared" si="40"/>
        <v>0</v>
      </c>
      <c r="L71" s="32">
        <f t="shared" si="40"/>
        <v>0</v>
      </c>
      <c r="M71" s="32">
        <f t="shared" si="40"/>
        <v>0</v>
      </c>
      <c r="N71" s="32">
        <f t="shared" si="40"/>
        <v>0</v>
      </c>
      <c r="O71" s="32">
        <f t="shared" si="40"/>
        <v>0</v>
      </c>
      <c r="P71" s="32">
        <f t="shared" si="40"/>
        <v>0</v>
      </c>
      <c r="Q71" s="32">
        <f t="shared" si="40"/>
        <v>0</v>
      </c>
      <c r="R71" s="32">
        <f t="shared" si="40"/>
        <v>0</v>
      </c>
      <c r="S71" s="32">
        <f t="shared" si="40"/>
        <v>0</v>
      </c>
      <c r="T71" s="32">
        <f t="shared" si="40"/>
        <v>0</v>
      </c>
      <c r="U71" s="32">
        <f t="shared" si="40"/>
        <v>0</v>
      </c>
      <c r="V71" s="32">
        <f t="shared" si="40"/>
        <v>0</v>
      </c>
      <c r="W71" s="32">
        <f t="shared" si="40"/>
        <v>0</v>
      </c>
      <c r="X71" s="32">
        <f t="shared" si="40"/>
        <v>0</v>
      </c>
      <c r="Y71" s="32">
        <f t="shared" si="40"/>
        <v>0</v>
      </c>
      <c r="Z71" s="32">
        <f t="shared" si="40"/>
        <v>0</v>
      </c>
      <c r="AA71" s="32">
        <f t="shared" si="40"/>
        <v>0</v>
      </c>
      <c r="AB71" s="32">
        <f t="shared" si="40"/>
        <v>0</v>
      </c>
    </row>
    <row r="72" spans="2:1006" outlineLevel="1" x14ac:dyDescent="0.55000000000000004">
      <c r="C72" s="11" t="s">
        <v>97</v>
      </c>
      <c r="D72" s="11" t="s">
        <v>26</v>
      </c>
      <c r="H72" s="32">
        <f>H66-H74</f>
        <v>0</v>
      </c>
      <c r="I72" s="32">
        <f t="shared" ref="I72:AB72" si="41">I66-I74</f>
        <v>680253.74422886968</v>
      </c>
      <c r="J72" s="32">
        <f t="shared" si="41"/>
        <v>817866.60913152341</v>
      </c>
      <c r="K72" s="32">
        <f t="shared" si="41"/>
        <v>966236.03813696513</v>
      </c>
      <c r="L72" s="32">
        <f t="shared" si="41"/>
        <v>1126097.6400035704</v>
      </c>
      <c r="M72" s="32">
        <f t="shared" si="41"/>
        <v>1298235.5574818361</v>
      </c>
      <c r="N72" s="32">
        <f t="shared" si="41"/>
        <v>1483485.6363605405</v>
      </c>
      <c r="O72" s="32">
        <f t="shared" si="41"/>
        <v>1682738.8007853008</v>
      </c>
      <c r="P72" s="32">
        <f t="shared" si="41"/>
        <v>1896944.6482628849</v>
      </c>
      <c r="Q72" s="32">
        <f t="shared" si="41"/>
        <v>2127115.2786366041</v>
      </c>
      <c r="R72" s="32">
        <f t="shared" si="41"/>
        <v>2374329.3722468084</v>
      </c>
      <c r="S72" s="32">
        <f t="shared" si="41"/>
        <v>2639736.533479501</v>
      </c>
      <c r="T72" s="32">
        <f t="shared" si="41"/>
        <v>2924561.9169594189</v>
      </c>
      <c r="U72" s="32">
        <f t="shared" si="41"/>
        <v>3230111.154765706</v>
      </c>
      <c r="V72" s="32">
        <f t="shared" si="41"/>
        <v>3557775.6042430182</v>
      </c>
      <c r="W72" s="32">
        <f t="shared" si="41"/>
        <v>3909037.937253254</v>
      </c>
      <c r="X72" s="32">
        <f t="shared" si="41"/>
        <v>4285478.0930681471</v>
      </c>
      <c r="Y72" s="32">
        <f t="shared" si="41"/>
        <v>4688779.6185461571</v>
      </c>
      <c r="Z72" s="32">
        <f t="shared" si="41"/>
        <v>5120736.420773983</v>
      </c>
      <c r="AA72" s="32">
        <f t="shared" si="41"/>
        <v>5583259.9589899741</v>
      </c>
      <c r="AB72" s="32">
        <f t="shared" si="41"/>
        <v>6078386.9043498663</v>
      </c>
    </row>
    <row r="73" spans="2:1006" outlineLevel="1" x14ac:dyDescent="0.55000000000000004">
      <c r="C73" s="11" t="s">
        <v>98</v>
      </c>
      <c r="D73" s="11" t="s">
        <v>26</v>
      </c>
      <c r="H73" s="32">
        <f>H70+H71-H72</f>
        <v>56471167.467703998</v>
      </c>
      <c r="I73" s="32">
        <f t="shared" ref="I73:AB73" si="42">I70+I71-I72</f>
        <v>55790913.723475128</v>
      </c>
      <c r="J73" s="32">
        <f t="shared" si="42"/>
        <v>54973047.114343606</v>
      </c>
      <c r="K73" s="32">
        <f t="shared" si="42"/>
        <v>54006811.076206639</v>
      </c>
      <c r="L73" s="32">
        <f t="shared" si="42"/>
        <v>52880713.43620307</v>
      </c>
      <c r="M73" s="32">
        <f t="shared" si="42"/>
        <v>51582477.878721237</v>
      </c>
      <c r="N73" s="32">
        <f t="shared" si="42"/>
        <v>50098992.242360696</v>
      </c>
      <c r="O73" s="32">
        <f t="shared" si="42"/>
        <v>48416253.441575393</v>
      </c>
      <c r="P73" s="32">
        <f t="shared" si="42"/>
        <v>46519308.793312505</v>
      </c>
      <c r="Q73" s="32">
        <f t="shared" si="42"/>
        <v>44392193.5146759</v>
      </c>
      <c r="R73" s="32">
        <f t="shared" si="42"/>
        <v>42017864.142429091</v>
      </c>
      <c r="S73" s="32">
        <f t="shared" si="42"/>
        <v>39378127.608949587</v>
      </c>
      <c r="T73" s="32">
        <f t="shared" si="42"/>
        <v>36453565.691990167</v>
      </c>
      <c r="U73" s="32">
        <f t="shared" si="42"/>
        <v>33223454.53722446</v>
      </c>
      <c r="V73" s="32">
        <f t="shared" si="42"/>
        <v>29665678.932981443</v>
      </c>
      <c r="W73" s="32">
        <f t="shared" si="42"/>
        <v>25756640.995728187</v>
      </c>
      <c r="X73" s="32">
        <f t="shared" si="42"/>
        <v>21471162.902660042</v>
      </c>
      <c r="Y73" s="32">
        <f t="shared" si="42"/>
        <v>16782383.284113884</v>
      </c>
      <c r="Z73" s="32">
        <f t="shared" si="42"/>
        <v>11661646.863339901</v>
      </c>
      <c r="AA73" s="32">
        <f t="shared" si="42"/>
        <v>6078386.9043499269</v>
      </c>
      <c r="AB73" s="32">
        <f t="shared" si="42"/>
        <v>6.0535967350006104E-8</v>
      </c>
    </row>
    <row r="74" spans="2:1006" outlineLevel="1" x14ac:dyDescent="0.55000000000000004">
      <c r="C74" s="11" t="s">
        <v>99</v>
      </c>
      <c r="D74" s="11" t="s">
        <v>26</v>
      </c>
      <c r="H74" s="32">
        <f>H70*H67</f>
        <v>0</v>
      </c>
      <c r="I74" s="32">
        <f t="shared" ref="I74:AB74" si="43">I70*I67</f>
        <v>3670625.88540076</v>
      </c>
      <c r="J74" s="32">
        <f t="shared" si="43"/>
        <v>3626409.3920258833</v>
      </c>
      <c r="K74" s="32">
        <f t="shared" si="43"/>
        <v>3573248.0624323343</v>
      </c>
      <c r="L74" s="32">
        <f t="shared" si="43"/>
        <v>3510442.7199534317</v>
      </c>
      <c r="M74" s="32">
        <f t="shared" si="43"/>
        <v>3437246.3733531996</v>
      </c>
      <c r="N74" s="32">
        <f t="shared" si="43"/>
        <v>3352861.0621168804</v>
      </c>
      <c r="O74" s="32">
        <f t="shared" si="43"/>
        <v>3256434.4957534452</v>
      </c>
      <c r="P74" s="32">
        <f t="shared" si="43"/>
        <v>3147056.4737024005</v>
      </c>
      <c r="Q74" s="32">
        <f t="shared" si="43"/>
        <v>3023755.0715653128</v>
      </c>
      <c r="R74" s="32">
        <f t="shared" si="43"/>
        <v>2885492.5784539338</v>
      </c>
      <c r="S74" s="32">
        <f t="shared" si="43"/>
        <v>2731161.1692578909</v>
      </c>
      <c r="T74" s="32">
        <f t="shared" si="43"/>
        <v>2559578.2945817234</v>
      </c>
      <c r="U74" s="32">
        <f t="shared" si="43"/>
        <v>2369481.769979361</v>
      </c>
      <c r="V74" s="32">
        <f t="shared" si="43"/>
        <v>2159524.54491959</v>
      </c>
      <c r="W74" s="32">
        <f t="shared" si="43"/>
        <v>1928269.1306437938</v>
      </c>
      <c r="X74" s="32">
        <f t="shared" si="43"/>
        <v>1674181.6647223323</v>
      </c>
      <c r="Y74" s="32">
        <f t="shared" si="43"/>
        <v>1395625.5886729027</v>
      </c>
      <c r="Z74" s="32">
        <f t="shared" si="43"/>
        <v>1090854.9134674026</v>
      </c>
      <c r="AA74" s="32">
        <f t="shared" si="43"/>
        <v>758007.04611709365</v>
      </c>
      <c r="AB74" s="32">
        <f t="shared" si="43"/>
        <v>395095.14878274524</v>
      </c>
    </row>
    <row r="75" spans="2:1006" outlineLevel="1" x14ac:dyDescent="0.55000000000000004"/>
    <row r="76" spans="2:1006" outlineLevel="1" x14ac:dyDescent="0.55000000000000004">
      <c r="C76" s="11" t="s">
        <v>100</v>
      </c>
      <c r="D76" s="11" t="s">
        <v>101</v>
      </c>
      <c r="E76" s="11">
        <f>E63</f>
        <v>20</v>
      </c>
      <c r="F76" s="20">
        <f>LOOKUP(E76,3:3,73:73)</f>
        <v>6.0535967350006104E-8</v>
      </c>
    </row>
    <row r="77" spans="2:1006" outlineLevel="1" x14ac:dyDescent="0.55000000000000004"/>
    <row r="78" spans="2:1006" outlineLevel="1" x14ac:dyDescent="0.55000000000000004">
      <c r="C78" s="11" t="s">
        <v>102</v>
      </c>
      <c r="D78" s="11" t="s">
        <v>10</v>
      </c>
      <c r="E78" s="14">
        <f>E68/E42</f>
        <v>0.80673096382434284</v>
      </c>
    </row>
    <row r="79" spans="2:1006" outlineLevel="1" x14ac:dyDescent="0.55000000000000004"/>
    <row r="80" spans="2:1006" x14ac:dyDescent="0.55000000000000004">
      <c r="B80" s="16" t="s">
        <v>103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 s="16"/>
      <c r="OJ80" s="16"/>
      <c r="OK80" s="16"/>
      <c r="OL80" s="16"/>
      <c r="OM80" s="16"/>
      <c r="ON80" s="16"/>
      <c r="OO80" s="16"/>
      <c r="OP80" s="16"/>
      <c r="OQ80" s="16"/>
      <c r="OR80" s="16"/>
      <c r="OS80" s="16"/>
      <c r="OT80" s="16"/>
      <c r="OU80" s="16"/>
      <c r="OV80" s="16"/>
      <c r="OW80" s="16"/>
      <c r="OX80" s="16"/>
      <c r="OY80" s="16"/>
      <c r="OZ80" s="16"/>
      <c r="PA80" s="16"/>
      <c r="PB80" s="16"/>
      <c r="PC80" s="16"/>
      <c r="PD80" s="16"/>
      <c r="PE80" s="16"/>
      <c r="PF80" s="16"/>
      <c r="PG80" s="16"/>
      <c r="PH80" s="16"/>
      <c r="PI80" s="16"/>
      <c r="PJ80" s="16"/>
      <c r="PK80" s="16"/>
      <c r="PL80" s="16"/>
      <c r="PM80" s="16"/>
      <c r="PN80" s="16"/>
      <c r="PO80" s="16"/>
      <c r="PP80" s="16"/>
      <c r="PQ80" s="16"/>
      <c r="PR80" s="16"/>
      <c r="PS80" s="16"/>
      <c r="PT80" s="16"/>
      <c r="PU80" s="16"/>
      <c r="PV80" s="16"/>
      <c r="PW80" s="16"/>
      <c r="PX80" s="16"/>
      <c r="PY80" s="16"/>
      <c r="PZ80" s="16"/>
      <c r="QA80" s="16"/>
      <c r="QB80" s="16"/>
      <c r="QC80" s="16"/>
      <c r="QD80" s="16"/>
      <c r="QE80" s="16"/>
      <c r="QF80" s="16"/>
      <c r="QG80" s="16"/>
      <c r="QH80" s="16"/>
      <c r="QI80" s="16"/>
      <c r="QJ80" s="16"/>
      <c r="QK80" s="16"/>
      <c r="QL80" s="16"/>
      <c r="QM80" s="16"/>
      <c r="QN80" s="16"/>
      <c r="QO80" s="16"/>
      <c r="QP80" s="16"/>
      <c r="QQ80" s="16"/>
      <c r="QR80" s="16"/>
      <c r="QS80" s="16"/>
      <c r="QT80" s="16"/>
      <c r="QU80" s="16"/>
      <c r="QV80" s="16"/>
      <c r="QW80" s="16"/>
      <c r="QX80" s="16"/>
      <c r="QY80" s="16"/>
      <c r="QZ80" s="16"/>
      <c r="RA80" s="16"/>
      <c r="RB80" s="16"/>
      <c r="RC80" s="16"/>
      <c r="RD80" s="16"/>
      <c r="RE80" s="16"/>
      <c r="RF80" s="16"/>
      <c r="RG80" s="16"/>
      <c r="RH80" s="16"/>
      <c r="RI80" s="16"/>
      <c r="RJ80" s="16"/>
      <c r="RK80" s="16"/>
      <c r="RL80" s="16"/>
      <c r="RM80" s="16"/>
      <c r="RN80" s="16"/>
      <c r="RO80" s="16"/>
      <c r="RP80" s="16"/>
      <c r="RQ80" s="16"/>
      <c r="RR80" s="16"/>
      <c r="RS80" s="16"/>
      <c r="RT80" s="16"/>
      <c r="RU80" s="16"/>
      <c r="RV80" s="16"/>
      <c r="RW80" s="16"/>
      <c r="RX80" s="16"/>
      <c r="RY80" s="16"/>
      <c r="RZ80" s="16"/>
      <c r="SA80" s="16"/>
      <c r="SB80" s="16"/>
      <c r="SC80" s="16"/>
      <c r="SD80" s="16"/>
      <c r="SE80" s="16"/>
      <c r="SF80" s="16"/>
      <c r="SG80" s="16"/>
      <c r="SH80" s="16"/>
      <c r="SI80" s="16"/>
      <c r="SJ80" s="16"/>
      <c r="SK80" s="16"/>
      <c r="SL80" s="16"/>
      <c r="SM80" s="16"/>
      <c r="SN80" s="16"/>
      <c r="SO80" s="16"/>
      <c r="SP80" s="16"/>
      <c r="SQ80" s="16"/>
      <c r="SR80" s="16"/>
      <c r="SS80" s="16"/>
      <c r="ST80" s="16"/>
      <c r="SU80" s="16"/>
      <c r="SV80" s="16"/>
      <c r="SW80" s="16"/>
      <c r="SX80" s="16"/>
      <c r="SY80" s="16"/>
      <c r="SZ80" s="16"/>
      <c r="TA80" s="16"/>
      <c r="TB80" s="16"/>
      <c r="TC80" s="16"/>
      <c r="TD80" s="16"/>
      <c r="TE80" s="16"/>
      <c r="TF80" s="16"/>
      <c r="TG80" s="16"/>
      <c r="TH80" s="16"/>
      <c r="TI80" s="16"/>
      <c r="TJ80" s="16"/>
      <c r="TK80" s="16"/>
      <c r="TL80" s="16"/>
      <c r="TM80" s="16"/>
      <c r="TN80" s="16"/>
      <c r="TO80" s="16"/>
      <c r="TP80" s="16"/>
      <c r="TQ80" s="16"/>
      <c r="TR80" s="16"/>
      <c r="TS80" s="16"/>
      <c r="TT80" s="16"/>
      <c r="TU80" s="16"/>
      <c r="TV80" s="16"/>
      <c r="TW80" s="16"/>
      <c r="TX80" s="16"/>
      <c r="TY80" s="16"/>
      <c r="TZ80" s="16"/>
      <c r="UA80" s="16"/>
      <c r="UB80" s="16"/>
      <c r="UC80" s="16"/>
      <c r="UD80" s="16"/>
      <c r="UE80" s="16"/>
      <c r="UF80" s="16"/>
      <c r="UG80" s="16"/>
      <c r="UH80" s="16"/>
      <c r="UI80" s="16"/>
      <c r="UJ80" s="16"/>
      <c r="UK80" s="16"/>
      <c r="UL80" s="16"/>
      <c r="UM80" s="16"/>
      <c r="UN80" s="16"/>
      <c r="UO80" s="16"/>
      <c r="UP80" s="16"/>
      <c r="UQ80" s="16"/>
      <c r="UR80" s="16"/>
      <c r="US80" s="16"/>
      <c r="UT80" s="16"/>
      <c r="UU80" s="16"/>
      <c r="UV80" s="16"/>
      <c r="UW80" s="16"/>
      <c r="UX80" s="16"/>
      <c r="UY80" s="16"/>
      <c r="UZ80" s="16"/>
      <c r="VA80" s="16"/>
      <c r="VB80" s="16"/>
      <c r="VC80" s="16"/>
      <c r="VD80" s="16"/>
      <c r="VE80" s="16"/>
      <c r="VF80" s="16"/>
      <c r="VG80" s="16"/>
      <c r="VH80" s="16"/>
      <c r="VI80" s="16"/>
      <c r="VJ80" s="16"/>
      <c r="VK80" s="16"/>
      <c r="VL80" s="16"/>
      <c r="VM80" s="16"/>
      <c r="VN80" s="16"/>
      <c r="VO80" s="16"/>
      <c r="VP80" s="16"/>
      <c r="VQ80" s="16"/>
      <c r="VR80" s="16"/>
      <c r="VS80" s="16"/>
      <c r="VT80" s="16"/>
      <c r="VU80" s="16"/>
      <c r="VV80" s="16"/>
      <c r="VW80" s="16"/>
      <c r="VX80" s="16"/>
      <c r="VY80" s="16"/>
      <c r="VZ80" s="16"/>
      <c r="WA80" s="16"/>
      <c r="WB80" s="16"/>
      <c r="WC80" s="16"/>
      <c r="WD80" s="16"/>
      <c r="WE80" s="16"/>
      <c r="WF80" s="16"/>
      <c r="WG80" s="16"/>
      <c r="WH80" s="16"/>
      <c r="WI80" s="16"/>
      <c r="WJ80" s="16"/>
      <c r="WK80" s="16"/>
      <c r="WL80" s="16"/>
      <c r="WM80" s="16"/>
      <c r="WN80" s="16"/>
      <c r="WO80" s="16"/>
      <c r="WP80" s="16"/>
      <c r="WQ80" s="16"/>
      <c r="WR80" s="16"/>
      <c r="WS80" s="16"/>
      <c r="WT80" s="16"/>
      <c r="WU80" s="16"/>
      <c r="WV80" s="16"/>
      <c r="WW80" s="16"/>
      <c r="WX80" s="16"/>
      <c r="WY80" s="16"/>
      <c r="WZ80" s="16"/>
      <c r="XA80" s="16"/>
      <c r="XB80" s="16"/>
      <c r="XC80" s="16"/>
      <c r="XD80" s="16"/>
      <c r="XE80" s="16"/>
      <c r="XF80" s="16"/>
      <c r="XG80" s="16"/>
      <c r="XH80" s="16"/>
      <c r="XI80" s="16"/>
      <c r="XJ80" s="16"/>
      <c r="XK80" s="16"/>
      <c r="XL80" s="16"/>
      <c r="XM80" s="16"/>
      <c r="XN80" s="16"/>
      <c r="XO80" s="16"/>
      <c r="XP80" s="16"/>
      <c r="XQ80" s="16"/>
      <c r="XR80" s="16"/>
      <c r="XS80" s="16"/>
      <c r="XT80" s="16"/>
      <c r="XU80" s="16"/>
      <c r="XV80" s="16"/>
      <c r="XW80" s="16"/>
      <c r="XX80" s="16"/>
      <c r="XY80" s="16"/>
      <c r="XZ80" s="16"/>
      <c r="YA80" s="16"/>
      <c r="YB80" s="16"/>
      <c r="YC80" s="16"/>
      <c r="YD80" s="16"/>
      <c r="YE80" s="16"/>
      <c r="YF80" s="16"/>
      <c r="YG80" s="16"/>
      <c r="YH80" s="16"/>
      <c r="YI80" s="16"/>
      <c r="YJ80" s="16"/>
      <c r="YK80" s="16"/>
      <c r="YL80" s="16"/>
      <c r="YM80" s="16"/>
      <c r="YN80" s="16"/>
      <c r="YO80" s="16"/>
      <c r="YP80" s="16"/>
      <c r="YQ80" s="16"/>
      <c r="YR80" s="16"/>
      <c r="YS80" s="16"/>
      <c r="YT80" s="16"/>
      <c r="YU80" s="16"/>
      <c r="YV80" s="16"/>
      <c r="YW80" s="16"/>
      <c r="YX80" s="16"/>
      <c r="YY80" s="16"/>
      <c r="YZ80" s="16"/>
      <c r="ZA80" s="16"/>
      <c r="ZB80" s="16"/>
      <c r="ZC80" s="16"/>
      <c r="ZD80" s="16"/>
      <c r="ZE80" s="16"/>
      <c r="ZF80" s="16"/>
      <c r="ZG80" s="16"/>
      <c r="ZH80" s="16"/>
      <c r="ZI80" s="16"/>
      <c r="ZJ80" s="16"/>
      <c r="ZK80" s="16"/>
      <c r="ZL80" s="16"/>
      <c r="ZM80" s="16"/>
      <c r="ZN80" s="16"/>
      <c r="ZO80" s="16"/>
      <c r="ZP80" s="16"/>
      <c r="ZQ80" s="16"/>
      <c r="ZR80" s="16"/>
      <c r="ZS80" s="16"/>
      <c r="ZT80" s="16"/>
      <c r="ZU80" s="16"/>
      <c r="ZV80" s="16"/>
      <c r="ZW80" s="16"/>
      <c r="ZX80" s="16"/>
      <c r="ZY80" s="16"/>
      <c r="ZZ80" s="16"/>
      <c r="AAA80" s="16"/>
      <c r="AAB80" s="16"/>
      <c r="AAC80" s="16"/>
      <c r="AAD80" s="16"/>
      <c r="AAE80" s="16"/>
      <c r="AAF80" s="16"/>
      <c r="AAG80" s="16"/>
      <c r="AAH80" s="16"/>
      <c r="AAI80" s="16"/>
      <c r="AAJ80" s="16"/>
      <c r="AAK80" s="16"/>
      <c r="AAL80" s="16"/>
      <c r="AAM80" s="16"/>
      <c r="AAN80" s="16"/>
      <c r="AAO80" s="16"/>
      <c r="AAP80" s="16"/>
      <c r="AAQ80" s="16"/>
      <c r="AAR80" s="16"/>
      <c r="AAS80" s="16"/>
      <c r="AAT80" s="16"/>
      <c r="AAU80" s="16"/>
      <c r="AAV80" s="16"/>
      <c r="AAW80" s="16"/>
      <c r="AAX80" s="16"/>
      <c r="AAY80" s="16"/>
      <c r="AAZ80" s="16"/>
      <c r="ABA80" s="16"/>
      <c r="ABB80" s="16"/>
      <c r="ABC80" s="16"/>
      <c r="ABD80" s="16"/>
      <c r="ABE80" s="16"/>
      <c r="ABF80" s="16"/>
      <c r="ABG80" s="16"/>
      <c r="ABH80" s="16"/>
      <c r="ABI80" s="16"/>
      <c r="ABJ80" s="16"/>
      <c r="ABK80" s="16"/>
      <c r="ABL80" s="16"/>
      <c r="ABM80" s="16"/>
      <c r="ABN80" s="16"/>
      <c r="ABO80" s="16"/>
      <c r="ABP80" s="16"/>
      <c r="ABQ80" s="16"/>
      <c r="ABR80" s="16"/>
      <c r="ABS80" s="16"/>
      <c r="ABT80" s="16"/>
      <c r="ABU80" s="16"/>
      <c r="ABV80" s="16"/>
      <c r="ABW80" s="16"/>
      <c r="ABX80" s="16"/>
      <c r="ABY80" s="16"/>
      <c r="ABZ80" s="16"/>
      <c r="ACA80" s="16"/>
      <c r="ACB80" s="16"/>
      <c r="ACC80" s="16"/>
      <c r="ACD80" s="16"/>
      <c r="ACE80" s="16"/>
      <c r="ACF80" s="16"/>
      <c r="ACG80" s="16"/>
      <c r="ACH80" s="16"/>
      <c r="ACI80" s="16"/>
      <c r="ACJ80" s="16"/>
      <c r="ACK80" s="16"/>
      <c r="ACL80" s="16"/>
      <c r="ACM80" s="16"/>
      <c r="ACN80" s="16"/>
      <c r="ACO80" s="16"/>
      <c r="ACP80" s="16"/>
      <c r="ACQ80" s="16"/>
      <c r="ACR80" s="16"/>
      <c r="ACS80" s="16"/>
      <c r="ACT80" s="16"/>
      <c r="ACU80" s="16"/>
      <c r="ACV80" s="16"/>
      <c r="ACW80" s="16"/>
      <c r="ACX80" s="16"/>
      <c r="ACY80" s="16"/>
      <c r="ACZ80" s="16"/>
      <c r="ADA80" s="16"/>
      <c r="ADB80" s="16"/>
      <c r="ADC80" s="16"/>
      <c r="ADD80" s="16"/>
      <c r="ADE80" s="16"/>
      <c r="ADF80" s="16"/>
      <c r="ADG80" s="16"/>
      <c r="ADH80" s="16"/>
      <c r="ADI80" s="16"/>
      <c r="ADJ80" s="16"/>
      <c r="ADK80" s="16"/>
      <c r="ADL80" s="16"/>
      <c r="ADM80" s="16"/>
      <c r="ADN80" s="16"/>
      <c r="ADO80" s="16"/>
      <c r="ADP80" s="16"/>
      <c r="ADQ80" s="16"/>
      <c r="ADR80" s="16"/>
      <c r="ADS80" s="16"/>
      <c r="ADT80" s="16"/>
      <c r="ADU80" s="16"/>
      <c r="ADV80" s="16"/>
      <c r="ADW80" s="16"/>
      <c r="ADX80" s="16"/>
      <c r="ADY80" s="16"/>
      <c r="ADZ80" s="16"/>
      <c r="AEA80" s="16"/>
      <c r="AEB80" s="16"/>
      <c r="AEC80" s="16"/>
      <c r="AED80" s="16"/>
      <c r="AEE80" s="16"/>
      <c r="AEF80" s="16"/>
      <c r="AEG80" s="16"/>
      <c r="AEH80" s="16"/>
      <c r="AEI80" s="16"/>
      <c r="AEJ80" s="16"/>
      <c r="AEK80" s="16"/>
      <c r="AEL80" s="16"/>
      <c r="AEM80" s="16"/>
      <c r="AEN80" s="16"/>
      <c r="AEO80" s="16"/>
      <c r="AEP80" s="16"/>
      <c r="AEQ80" s="16"/>
      <c r="AER80" s="16"/>
      <c r="AES80" s="16"/>
      <c r="AET80" s="16"/>
      <c r="AEU80" s="16"/>
      <c r="AEV80" s="16"/>
      <c r="AEW80" s="16"/>
      <c r="AEX80" s="16"/>
      <c r="AEY80" s="16"/>
      <c r="AEZ80" s="16"/>
      <c r="AFA80" s="16"/>
      <c r="AFB80" s="16"/>
      <c r="AFC80" s="16"/>
      <c r="AFD80" s="16"/>
      <c r="AFE80" s="16"/>
      <c r="AFF80" s="16"/>
      <c r="AFG80" s="16"/>
      <c r="AFH80" s="16"/>
      <c r="AFI80" s="16"/>
      <c r="AFJ80" s="16"/>
      <c r="AFK80" s="16"/>
      <c r="AFL80" s="16"/>
      <c r="AFM80" s="16"/>
      <c r="AFN80" s="16"/>
      <c r="AFO80" s="16"/>
      <c r="AFP80" s="16"/>
      <c r="AFQ80" s="16"/>
      <c r="AFR80" s="16"/>
      <c r="AFS80" s="16"/>
      <c r="AFT80" s="16"/>
      <c r="AFU80" s="16"/>
      <c r="AFV80" s="16"/>
      <c r="AFW80" s="16"/>
      <c r="AFX80" s="16"/>
      <c r="AFY80" s="16"/>
      <c r="AFZ80" s="16"/>
      <c r="AGA80" s="16"/>
      <c r="AGB80" s="16"/>
      <c r="AGC80" s="16"/>
      <c r="AGD80" s="16"/>
      <c r="AGE80" s="16"/>
      <c r="AGF80" s="16"/>
      <c r="AGG80" s="16"/>
      <c r="AGH80" s="16"/>
      <c r="AGI80" s="16"/>
      <c r="AGJ80" s="16"/>
      <c r="AGK80" s="16"/>
      <c r="AGL80" s="16"/>
      <c r="AGM80" s="16"/>
      <c r="AGN80" s="16"/>
      <c r="AGO80" s="16"/>
      <c r="AGP80" s="16"/>
      <c r="AGQ80" s="16"/>
      <c r="AGR80" s="16"/>
      <c r="AGS80" s="16"/>
      <c r="AGT80" s="16"/>
      <c r="AGU80" s="16"/>
      <c r="AGV80" s="16"/>
      <c r="AGW80" s="16"/>
      <c r="AGX80" s="16"/>
      <c r="AGY80" s="16"/>
      <c r="AGZ80" s="16"/>
      <c r="AHA80" s="16"/>
      <c r="AHB80" s="16"/>
      <c r="AHC80" s="16"/>
      <c r="AHD80" s="16"/>
      <c r="AHE80" s="16"/>
      <c r="AHF80" s="16"/>
      <c r="AHG80" s="16"/>
      <c r="AHH80" s="16"/>
      <c r="AHI80" s="16"/>
      <c r="AHJ80" s="16"/>
      <c r="AHK80" s="16"/>
      <c r="AHL80" s="16"/>
      <c r="AHM80" s="16"/>
      <c r="AHN80" s="16"/>
      <c r="AHO80" s="16"/>
      <c r="AHP80" s="16"/>
      <c r="AHQ80" s="16"/>
      <c r="AHR80" s="16"/>
      <c r="AHS80" s="16"/>
      <c r="AHT80" s="16"/>
      <c r="AHU80" s="16"/>
      <c r="AHV80" s="16"/>
      <c r="AHW80" s="16"/>
      <c r="AHX80" s="16"/>
      <c r="AHY80" s="16"/>
      <c r="AHZ80" s="16"/>
      <c r="AIA80" s="16"/>
      <c r="AIB80" s="16"/>
      <c r="AIC80" s="16"/>
      <c r="AID80" s="16"/>
      <c r="AIE80" s="16"/>
      <c r="AIF80" s="16"/>
      <c r="AIG80" s="16"/>
      <c r="AIH80" s="16"/>
      <c r="AII80" s="16"/>
      <c r="AIJ80" s="16"/>
      <c r="AIK80" s="16"/>
      <c r="AIL80" s="16"/>
      <c r="AIM80" s="16"/>
      <c r="AIN80" s="16"/>
      <c r="AIO80" s="16"/>
      <c r="AIP80" s="16"/>
      <c r="AIQ80" s="16"/>
      <c r="AIR80" s="16"/>
      <c r="AIS80" s="16"/>
      <c r="AIT80" s="16"/>
      <c r="AIU80" s="16"/>
      <c r="AIV80" s="16"/>
      <c r="AIW80" s="16"/>
      <c r="AIX80" s="16"/>
      <c r="AIY80" s="16"/>
      <c r="AIZ80" s="16"/>
      <c r="AJA80" s="16"/>
      <c r="AJB80" s="16"/>
      <c r="AJC80" s="16"/>
      <c r="AJD80" s="16"/>
      <c r="AJE80" s="16"/>
      <c r="AJF80" s="16"/>
      <c r="AJG80" s="16"/>
      <c r="AJH80" s="16"/>
      <c r="AJI80" s="16"/>
      <c r="AJJ80" s="16"/>
      <c r="AJK80" s="16"/>
      <c r="AJL80" s="16"/>
      <c r="AJM80" s="16"/>
      <c r="AJN80" s="16"/>
      <c r="AJO80" s="16"/>
      <c r="AJP80" s="16"/>
      <c r="AJQ80" s="16"/>
      <c r="AJR80" s="16"/>
      <c r="AJS80" s="16"/>
      <c r="AJT80" s="16"/>
      <c r="AJU80" s="16"/>
      <c r="AJV80" s="16"/>
      <c r="AJW80" s="16"/>
      <c r="AJX80" s="16"/>
      <c r="AJY80" s="16"/>
      <c r="AJZ80" s="16"/>
      <c r="AKA80" s="16"/>
      <c r="AKB80" s="16"/>
      <c r="AKC80" s="16"/>
      <c r="AKD80" s="16"/>
      <c r="AKE80" s="16"/>
      <c r="AKF80" s="16"/>
      <c r="AKG80" s="16"/>
      <c r="AKH80" s="16"/>
      <c r="AKI80" s="16"/>
      <c r="AKJ80" s="16"/>
      <c r="AKK80" s="16"/>
      <c r="AKL80" s="16"/>
      <c r="AKM80" s="16"/>
      <c r="AKN80" s="16"/>
      <c r="AKO80" s="16"/>
      <c r="AKP80" s="16"/>
      <c r="AKQ80" s="16"/>
      <c r="AKR80" s="16"/>
      <c r="AKS80" s="16"/>
      <c r="AKT80" s="16"/>
      <c r="AKU80" s="16"/>
      <c r="AKV80" s="16"/>
      <c r="AKW80" s="16"/>
      <c r="AKX80" s="16"/>
      <c r="AKY80" s="16"/>
      <c r="AKZ80" s="16"/>
      <c r="ALA80" s="16"/>
      <c r="ALB80" s="16"/>
      <c r="ALC80" s="16"/>
      <c r="ALD80" s="16"/>
      <c r="ALE80" s="16"/>
      <c r="ALF80" s="16"/>
      <c r="ALG80" s="16"/>
      <c r="ALH80" s="16"/>
      <c r="ALI80" s="16"/>
      <c r="ALJ80" s="16"/>
      <c r="ALK80" s="16"/>
      <c r="ALL80" s="16"/>
      <c r="ALM80" s="16"/>
      <c r="ALN80" s="16"/>
      <c r="ALO80" s="16"/>
      <c r="ALP80" s="16"/>
      <c r="ALQ80" s="16"/>
      <c r="ALR80" s="16"/>
    </row>
    <row r="81" spans="2:1006" outlineLevel="1" x14ac:dyDescent="0.55000000000000004">
      <c r="C81" s="11" t="s">
        <v>105</v>
      </c>
      <c r="D81" s="11" t="s">
        <v>26</v>
      </c>
      <c r="F81" s="22">
        <f>SUM(H81:AB81)</f>
        <v>74472300.452368587</v>
      </c>
      <c r="G81" s="41"/>
      <c r="H81" s="41">
        <f>H44</f>
        <v>-70000000</v>
      </c>
      <c r="I81" s="41">
        <f t="shared" ref="I81:AB81" si="44">I44</f>
        <v>5873687.5</v>
      </c>
      <c r="J81" s="41">
        <f t="shared" si="44"/>
        <v>5999772.6015624991</v>
      </c>
      <c r="K81" s="41">
        <f t="shared" si="44"/>
        <v>6128303.5357685545</v>
      </c>
      <c r="L81" s="41">
        <f t="shared" si="44"/>
        <v>6259329.485941953</v>
      </c>
      <c r="M81" s="41">
        <f t="shared" si="44"/>
        <v>6392900.6066272985</v>
      </c>
      <c r="N81" s="41">
        <f t="shared" si="44"/>
        <v>6529068.0429445188</v>
      </c>
      <c r="O81" s="41">
        <f t="shared" si="44"/>
        <v>6667883.950327307</v>
      </c>
      <c r="P81" s="41">
        <f t="shared" si="44"/>
        <v>6809401.514653136</v>
      </c>
      <c r="Q81" s="41">
        <f t="shared" si="44"/>
        <v>6953674.972772588</v>
      </c>
      <c r="R81" s="41">
        <f t="shared" si="44"/>
        <v>7100759.6334460024</v>
      </c>
      <c r="S81" s="41">
        <f t="shared" si="44"/>
        <v>7250711.8986954801</v>
      </c>
      <c r="T81" s="41">
        <f t="shared" si="44"/>
        <v>7403589.2855805429</v>
      </c>
      <c r="U81" s="41">
        <f t="shared" si="44"/>
        <v>7559450.4484058414</v>
      </c>
      <c r="V81" s="41">
        <f t="shared" si="44"/>
        <v>7718355.2013695221</v>
      </c>
      <c r="W81" s="41">
        <f t="shared" si="44"/>
        <v>7880364.5416610157</v>
      </c>
      <c r="X81" s="41">
        <f t="shared" si="44"/>
        <v>8045540.6730171489</v>
      </c>
      <c r="Y81" s="41">
        <f t="shared" si="44"/>
        <v>8213947.0297457306</v>
      </c>
      <c r="Z81" s="41">
        <f t="shared" si="44"/>
        <v>8385648.3012258708</v>
      </c>
      <c r="AA81" s="41">
        <f t="shared" si="44"/>
        <v>8560710.4568945412</v>
      </c>
      <c r="AB81" s="41">
        <f t="shared" si="44"/>
        <v>8739200.771729026</v>
      </c>
    </row>
    <row r="82" spans="2:1006" outlineLevel="1" x14ac:dyDescent="0.55000000000000004">
      <c r="C82" s="11" t="s">
        <v>106</v>
      </c>
      <c r="D82" s="11" t="s">
        <v>26</v>
      </c>
      <c r="H82" s="32">
        <f>H71</f>
        <v>56471167.467703998</v>
      </c>
      <c r="I82" s="32">
        <f t="shared" ref="I82:AB82" si="45">I71</f>
        <v>0</v>
      </c>
      <c r="J82" s="32">
        <f t="shared" si="45"/>
        <v>0</v>
      </c>
      <c r="K82" s="32">
        <f t="shared" si="45"/>
        <v>0</v>
      </c>
      <c r="L82" s="32">
        <f t="shared" si="45"/>
        <v>0</v>
      </c>
      <c r="M82" s="32">
        <f t="shared" si="45"/>
        <v>0</v>
      </c>
      <c r="N82" s="32">
        <f t="shared" si="45"/>
        <v>0</v>
      </c>
      <c r="O82" s="32">
        <f t="shared" si="45"/>
        <v>0</v>
      </c>
      <c r="P82" s="32">
        <f t="shared" si="45"/>
        <v>0</v>
      </c>
      <c r="Q82" s="32">
        <f t="shared" si="45"/>
        <v>0</v>
      </c>
      <c r="R82" s="32">
        <f t="shared" si="45"/>
        <v>0</v>
      </c>
      <c r="S82" s="32">
        <f t="shared" si="45"/>
        <v>0</v>
      </c>
      <c r="T82" s="32">
        <f t="shared" si="45"/>
        <v>0</v>
      </c>
      <c r="U82" s="32">
        <f t="shared" si="45"/>
        <v>0</v>
      </c>
      <c r="V82" s="32">
        <f t="shared" si="45"/>
        <v>0</v>
      </c>
      <c r="W82" s="32">
        <f t="shared" si="45"/>
        <v>0</v>
      </c>
      <c r="X82" s="32">
        <f t="shared" si="45"/>
        <v>0</v>
      </c>
      <c r="Y82" s="32">
        <f t="shared" si="45"/>
        <v>0</v>
      </c>
      <c r="Z82" s="32">
        <f t="shared" si="45"/>
        <v>0</v>
      </c>
      <c r="AA82" s="32">
        <f t="shared" si="45"/>
        <v>0</v>
      </c>
      <c r="AB82" s="32">
        <f t="shared" si="45"/>
        <v>0</v>
      </c>
    </row>
    <row r="83" spans="2:1006" outlineLevel="1" x14ac:dyDescent="0.55000000000000004">
      <c r="C83" s="11" t="s">
        <v>107</v>
      </c>
      <c r="D83" s="11" t="s">
        <v>26</v>
      </c>
      <c r="H83" s="32" t="b">
        <f>H66</f>
        <v>0</v>
      </c>
      <c r="I83" s="32">
        <f t="shared" ref="I83:AB83" si="46">I66</f>
        <v>4350879.6296296297</v>
      </c>
      <c r="J83" s="32">
        <f t="shared" si="46"/>
        <v>4444276.0011574067</v>
      </c>
      <c r="K83" s="32">
        <f t="shared" si="46"/>
        <v>4539484.1005692994</v>
      </c>
      <c r="L83" s="32">
        <f t="shared" si="46"/>
        <v>4636540.3599570021</v>
      </c>
      <c r="M83" s="32">
        <f t="shared" si="46"/>
        <v>4735481.9308350356</v>
      </c>
      <c r="N83" s="32">
        <f t="shared" si="46"/>
        <v>4836346.698477421</v>
      </c>
      <c r="O83" s="32">
        <f t="shared" si="46"/>
        <v>4939173.296538746</v>
      </c>
      <c r="P83" s="32">
        <f t="shared" si="46"/>
        <v>5044001.1219652854</v>
      </c>
      <c r="Q83" s="32">
        <f t="shared" si="46"/>
        <v>5150870.3502019169</v>
      </c>
      <c r="R83" s="32">
        <f t="shared" si="46"/>
        <v>5259821.9507007422</v>
      </c>
      <c r="S83" s="32">
        <f t="shared" si="46"/>
        <v>5370897.7027373919</v>
      </c>
      <c r="T83" s="32">
        <f t="shared" si="46"/>
        <v>5484140.2115411423</v>
      </c>
      <c r="U83" s="32">
        <f t="shared" si="46"/>
        <v>5599592.924745067</v>
      </c>
      <c r="V83" s="32">
        <f t="shared" si="46"/>
        <v>5717300.1491626082</v>
      </c>
      <c r="W83" s="32">
        <f t="shared" si="46"/>
        <v>5837307.0678970478</v>
      </c>
      <c r="X83" s="32">
        <f t="shared" si="46"/>
        <v>5959659.7577904798</v>
      </c>
      <c r="Y83" s="32">
        <f t="shared" si="46"/>
        <v>6084405.2072190596</v>
      </c>
      <c r="Z83" s="32">
        <f t="shared" si="46"/>
        <v>6211591.3342413856</v>
      </c>
      <c r="AA83" s="32">
        <f t="shared" si="46"/>
        <v>6341267.0051070675</v>
      </c>
      <c r="AB83" s="32">
        <f t="shared" si="46"/>
        <v>6473482.0531326113</v>
      </c>
    </row>
    <row r="84" spans="2:1006" outlineLevel="1" x14ac:dyDescent="0.55000000000000004">
      <c r="C84" s="11" t="s">
        <v>108</v>
      </c>
      <c r="D84" s="11" t="s">
        <v>26</v>
      </c>
      <c r="H84" s="32">
        <f>H81+H82-H83</f>
        <v>-13528832.532296002</v>
      </c>
      <c r="I84" s="32">
        <f t="shared" ref="I84:AB84" si="47">I81+I82-I83</f>
        <v>1522807.8703703703</v>
      </c>
      <c r="J84" s="32">
        <f t="shared" si="47"/>
        <v>1555496.6004050924</v>
      </c>
      <c r="K84" s="32">
        <f t="shared" si="47"/>
        <v>1588819.4351992551</v>
      </c>
      <c r="L84" s="32">
        <f t="shared" si="47"/>
        <v>1622789.1259849509</v>
      </c>
      <c r="M84" s="32">
        <f t="shared" si="47"/>
        <v>1657418.6757922629</v>
      </c>
      <c r="N84" s="32">
        <f t="shared" si="47"/>
        <v>1692721.3444670979</v>
      </c>
      <c r="O84" s="32">
        <f t="shared" si="47"/>
        <v>1728710.653788561</v>
      </c>
      <c r="P84" s="32">
        <f t="shared" si="47"/>
        <v>1765400.3926878506</v>
      </c>
      <c r="Q84" s="32">
        <f t="shared" si="47"/>
        <v>1802804.6225706711</v>
      </c>
      <c r="R84" s="32">
        <f t="shared" si="47"/>
        <v>1840937.6827452602</v>
      </c>
      <c r="S84" s="32">
        <f t="shared" si="47"/>
        <v>1879814.1959580882</v>
      </c>
      <c r="T84" s="32">
        <f t="shared" si="47"/>
        <v>1919449.0740394006</v>
      </c>
      <c r="U84" s="32">
        <f t="shared" si="47"/>
        <v>1959857.5236607743</v>
      </c>
      <c r="V84" s="32">
        <f t="shared" si="47"/>
        <v>2001055.0522069139</v>
      </c>
      <c r="W84" s="32">
        <f t="shared" si="47"/>
        <v>2043057.4737639679</v>
      </c>
      <c r="X84" s="32">
        <f t="shared" si="47"/>
        <v>2085880.9152266691</v>
      </c>
      <c r="Y84" s="32">
        <f t="shared" si="47"/>
        <v>2129541.822526671</v>
      </c>
      <c r="Z84" s="32">
        <f t="shared" si="47"/>
        <v>2174056.9669844853</v>
      </c>
      <c r="AA84" s="32">
        <f t="shared" si="47"/>
        <v>2219443.4517874736</v>
      </c>
      <c r="AB84" s="32">
        <f t="shared" si="47"/>
        <v>2265718.7185964147</v>
      </c>
    </row>
    <row r="85" spans="2:1006" outlineLevel="1" x14ac:dyDescent="0.55000000000000004">
      <c r="C85" s="11" t="s">
        <v>104</v>
      </c>
      <c r="D85" s="11" t="s">
        <v>10</v>
      </c>
      <c r="E85" s="40">
        <f>IRR(H84:AB84)</f>
        <v>0.11405986978530591</v>
      </c>
    </row>
    <row r="86" spans="2:1006" outlineLevel="1" x14ac:dyDescent="0.55000000000000004"/>
    <row r="87" spans="2:1006" x14ac:dyDescent="0.55000000000000004">
      <c r="B87" s="16" t="s">
        <v>109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6"/>
      <c r="NH87" s="16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  <c r="NT87" s="16"/>
      <c r="NU87" s="16"/>
      <c r="NV87" s="16"/>
      <c r="NW87" s="16"/>
      <c r="NX87" s="16"/>
      <c r="NY87" s="16"/>
      <c r="NZ87" s="16"/>
      <c r="OA87" s="16"/>
      <c r="OB87" s="16"/>
      <c r="OC87" s="16"/>
      <c r="OD87" s="16"/>
      <c r="OE87" s="16"/>
      <c r="OF87" s="16"/>
      <c r="OG87" s="16"/>
      <c r="OH87" s="16"/>
      <c r="OI87" s="16"/>
      <c r="OJ87" s="16"/>
      <c r="OK87" s="16"/>
      <c r="OL87" s="16"/>
      <c r="OM87" s="16"/>
      <c r="ON87" s="16"/>
      <c r="OO87" s="16"/>
      <c r="OP87" s="16"/>
      <c r="OQ87" s="16"/>
      <c r="OR87" s="16"/>
      <c r="OS87" s="16"/>
      <c r="OT87" s="16"/>
      <c r="OU87" s="16"/>
      <c r="OV87" s="16"/>
      <c r="OW87" s="16"/>
      <c r="OX87" s="16"/>
      <c r="OY87" s="16"/>
      <c r="OZ87" s="16"/>
      <c r="PA87" s="16"/>
      <c r="PB87" s="16"/>
      <c r="PC87" s="16"/>
      <c r="PD87" s="16"/>
      <c r="PE87" s="16"/>
      <c r="PF87" s="16"/>
      <c r="PG87" s="16"/>
      <c r="PH87" s="16"/>
      <c r="PI87" s="16"/>
      <c r="PJ87" s="16"/>
      <c r="PK87" s="16"/>
      <c r="PL87" s="16"/>
      <c r="PM87" s="16"/>
      <c r="PN87" s="16"/>
      <c r="PO87" s="16"/>
      <c r="PP87" s="16"/>
      <c r="PQ87" s="16"/>
      <c r="PR87" s="16"/>
      <c r="PS87" s="16"/>
      <c r="PT87" s="16"/>
      <c r="PU87" s="16"/>
      <c r="PV87" s="16"/>
      <c r="PW87" s="16"/>
      <c r="PX87" s="16"/>
      <c r="PY87" s="16"/>
      <c r="PZ87" s="16"/>
      <c r="QA87" s="16"/>
      <c r="QB87" s="16"/>
      <c r="QC87" s="16"/>
      <c r="QD87" s="16"/>
      <c r="QE87" s="16"/>
      <c r="QF87" s="16"/>
      <c r="QG87" s="16"/>
      <c r="QH87" s="16"/>
      <c r="QI87" s="16"/>
      <c r="QJ87" s="16"/>
      <c r="QK87" s="16"/>
      <c r="QL87" s="16"/>
      <c r="QM87" s="16"/>
      <c r="QN87" s="16"/>
      <c r="QO87" s="16"/>
      <c r="QP87" s="16"/>
      <c r="QQ87" s="16"/>
      <c r="QR87" s="16"/>
      <c r="QS87" s="16"/>
      <c r="QT87" s="16"/>
      <c r="QU87" s="16"/>
      <c r="QV87" s="16"/>
      <c r="QW87" s="16"/>
      <c r="QX87" s="16"/>
      <c r="QY87" s="16"/>
      <c r="QZ87" s="16"/>
      <c r="RA87" s="16"/>
      <c r="RB87" s="16"/>
      <c r="RC87" s="16"/>
      <c r="RD87" s="16"/>
      <c r="RE87" s="16"/>
      <c r="RF87" s="16"/>
      <c r="RG87" s="16"/>
      <c r="RH87" s="16"/>
      <c r="RI87" s="16"/>
      <c r="RJ87" s="16"/>
      <c r="RK87" s="16"/>
      <c r="RL87" s="16"/>
      <c r="RM87" s="16"/>
      <c r="RN87" s="16"/>
      <c r="RO87" s="16"/>
      <c r="RP87" s="16"/>
      <c r="RQ87" s="16"/>
      <c r="RR87" s="16"/>
      <c r="RS87" s="16"/>
      <c r="RT87" s="16"/>
      <c r="RU87" s="16"/>
      <c r="RV87" s="16"/>
      <c r="RW87" s="16"/>
      <c r="RX87" s="16"/>
      <c r="RY87" s="16"/>
      <c r="RZ87" s="16"/>
      <c r="SA87" s="16"/>
      <c r="SB87" s="16"/>
      <c r="SC87" s="16"/>
      <c r="SD87" s="16"/>
      <c r="SE87" s="16"/>
      <c r="SF87" s="16"/>
      <c r="SG87" s="16"/>
      <c r="SH87" s="16"/>
      <c r="SI87" s="16"/>
      <c r="SJ87" s="16"/>
      <c r="SK87" s="16"/>
      <c r="SL87" s="16"/>
      <c r="SM87" s="16"/>
      <c r="SN87" s="16"/>
      <c r="SO87" s="16"/>
      <c r="SP87" s="16"/>
      <c r="SQ87" s="16"/>
      <c r="SR87" s="16"/>
      <c r="SS87" s="16"/>
      <c r="ST87" s="16"/>
      <c r="SU87" s="16"/>
      <c r="SV87" s="16"/>
      <c r="SW87" s="16"/>
      <c r="SX87" s="16"/>
      <c r="SY87" s="16"/>
      <c r="SZ87" s="16"/>
      <c r="TA87" s="16"/>
      <c r="TB87" s="16"/>
      <c r="TC87" s="16"/>
      <c r="TD87" s="16"/>
      <c r="TE87" s="16"/>
      <c r="TF87" s="16"/>
      <c r="TG87" s="16"/>
      <c r="TH87" s="16"/>
      <c r="TI87" s="16"/>
      <c r="TJ87" s="16"/>
      <c r="TK87" s="16"/>
      <c r="TL87" s="16"/>
      <c r="TM87" s="16"/>
      <c r="TN87" s="16"/>
      <c r="TO87" s="16"/>
      <c r="TP87" s="16"/>
      <c r="TQ87" s="16"/>
      <c r="TR87" s="16"/>
      <c r="TS87" s="16"/>
      <c r="TT87" s="16"/>
      <c r="TU87" s="16"/>
      <c r="TV87" s="16"/>
      <c r="TW87" s="16"/>
      <c r="TX87" s="16"/>
      <c r="TY87" s="16"/>
      <c r="TZ87" s="16"/>
      <c r="UA87" s="16"/>
      <c r="UB87" s="16"/>
      <c r="UC87" s="16"/>
      <c r="UD87" s="16"/>
      <c r="UE87" s="16"/>
      <c r="UF87" s="16"/>
      <c r="UG87" s="16"/>
      <c r="UH87" s="16"/>
      <c r="UI87" s="16"/>
      <c r="UJ87" s="16"/>
      <c r="UK87" s="16"/>
      <c r="UL87" s="16"/>
      <c r="UM87" s="16"/>
      <c r="UN87" s="16"/>
      <c r="UO87" s="16"/>
      <c r="UP87" s="16"/>
      <c r="UQ87" s="16"/>
      <c r="UR87" s="16"/>
      <c r="US87" s="16"/>
      <c r="UT87" s="16"/>
      <c r="UU87" s="16"/>
      <c r="UV87" s="16"/>
      <c r="UW87" s="16"/>
      <c r="UX87" s="16"/>
      <c r="UY87" s="16"/>
      <c r="UZ87" s="16"/>
      <c r="VA87" s="16"/>
      <c r="VB87" s="16"/>
      <c r="VC87" s="16"/>
      <c r="VD87" s="16"/>
      <c r="VE87" s="16"/>
      <c r="VF87" s="16"/>
      <c r="VG87" s="16"/>
      <c r="VH87" s="16"/>
      <c r="VI87" s="16"/>
      <c r="VJ87" s="16"/>
      <c r="VK87" s="16"/>
      <c r="VL87" s="16"/>
      <c r="VM87" s="16"/>
      <c r="VN87" s="16"/>
      <c r="VO87" s="16"/>
      <c r="VP87" s="16"/>
      <c r="VQ87" s="16"/>
      <c r="VR87" s="16"/>
      <c r="VS87" s="16"/>
      <c r="VT87" s="16"/>
      <c r="VU87" s="16"/>
      <c r="VV87" s="16"/>
      <c r="VW87" s="16"/>
      <c r="VX87" s="16"/>
      <c r="VY87" s="16"/>
      <c r="VZ87" s="16"/>
      <c r="WA87" s="16"/>
      <c r="WB87" s="16"/>
      <c r="WC87" s="16"/>
      <c r="WD87" s="16"/>
      <c r="WE87" s="16"/>
      <c r="WF87" s="16"/>
      <c r="WG87" s="16"/>
      <c r="WH87" s="16"/>
      <c r="WI87" s="16"/>
      <c r="WJ87" s="16"/>
      <c r="WK87" s="16"/>
      <c r="WL87" s="16"/>
      <c r="WM87" s="16"/>
      <c r="WN87" s="16"/>
      <c r="WO87" s="16"/>
      <c r="WP87" s="16"/>
      <c r="WQ87" s="16"/>
      <c r="WR87" s="16"/>
      <c r="WS87" s="16"/>
      <c r="WT87" s="16"/>
      <c r="WU87" s="16"/>
      <c r="WV87" s="16"/>
      <c r="WW87" s="16"/>
      <c r="WX87" s="16"/>
      <c r="WY87" s="16"/>
      <c r="WZ87" s="16"/>
      <c r="XA87" s="16"/>
      <c r="XB87" s="16"/>
      <c r="XC87" s="16"/>
      <c r="XD87" s="16"/>
      <c r="XE87" s="16"/>
      <c r="XF87" s="16"/>
      <c r="XG87" s="16"/>
      <c r="XH87" s="16"/>
      <c r="XI87" s="16"/>
      <c r="XJ87" s="16"/>
      <c r="XK87" s="16"/>
      <c r="XL87" s="16"/>
      <c r="XM87" s="16"/>
      <c r="XN87" s="16"/>
      <c r="XO87" s="16"/>
      <c r="XP87" s="16"/>
      <c r="XQ87" s="16"/>
      <c r="XR87" s="16"/>
      <c r="XS87" s="16"/>
      <c r="XT87" s="16"/>
      <c r="XU87" s="16"/>
      <c r="XV87" s="16"/>
      <c r="XW87" s="16"/>
      <c r="XX87" s="16"/>
      <c r="XY87" s="16"/>
      <c r="XZ87" s="16"/>
      <c r="YA87" s="16"/>
      <c r="YB87" s="16"/>
      <c r="YC87" s="16"/>
      <c r="YD87" s="16"/>
      <c r="YE87" s="16"/>
      <c r="YF87" s="16"/>
      <c r="YG87" s="16"/>
      <c r="YH87" s="16"/>
      <c r="YI87" s="16"/>
      <c r="YJ87" s="16"/>
      <c r="YK87" s="16"/>
      <c r="YL87" s="16"/>
      <c r="YM87" s="16"/>
      <c r="YN87" s="16"/>
      <c r="YO87" s="16"/>
      <c r="YP87" s="16"/>
      <c r="YQ87" s="16"/>
      <c r="YR87" s="16"/>
      <c r="YS87" s="16"/>
      <c r="YT87" s="16"/>
      <c r="YU87" s="16"/>
      <c r="YV87" s="16"/>
      <c r="YW87" s="16"/>
      <c r="YX87" s="16"/>
      <c r="YY87" s="16"/>
      <c r="YZ87" s="16"/>
      <c r="ZA87" s="16"/>
      <c r="ZB87" s="16"/>
      <c r="ZC87" s="16"/>
      <c r="ZD87" s="16"/>
      <c r="ZE87" s="16"/>
      <c r="ZF87" s="16"/>
      <c r="ZG87" s="16"/>
      <c r="ZH87" s="16"/>
      <c r="ZI87" s="16"/>
      <c r="ZJ87" s="16"/>
      <c r="ZK87" s="16"/>
      <c r="ZL87" s="16"/>
      <c r="ZM87" s="16"/>
      <c r="ZN87" s="16"/>
      <c r="ZO87" s="16"/>
      <c r="ZP87" s="16"/>
      <c r="ZQ87" s="16"/>
      <c r="ZR87" s="16"/>
      <c r="ZS87" s="16"/>
      <c r="ZT87" s="16"/>
      <c r="ZU87" s="16"/>
      <c r="ZV87" s="16"/>
      <c r="ZW87" s="16"/>
      <c r="ZX87" s="16"/>
      <c r="ZY87" s="16"/>
      <c r="ZZ87" s="16"/>
      <c r="AAA87" s="16"/>
      <c r="AAB87" s="16"/>
      <c r="AAC87" s="16"/>
      <c r="AAD87" s="16"/>
      <c r="AAE87" s="16"/>
      <c r="AAF87" s="16"/>
      <c r="AAG87" s="16"/>
      <c r="AAH87" s="16"/>
      <c r="AAI87" s="16"/>
      <c r="AAJ87" s="16"/>
      <c r="AAK87" s="16"/>
      <c r="AAL87" s="16"/>
      <c r="AAM87" s="16"/>
      <c r="AAN87" s="16"/>
      <c r="AAO87" s="16"/>
      <c r="AAP87" s="16"/>
      <c r="AAQ87" s="16"/>
      <c r="AAR87" s="16"/>
      <c r="AAS87" s="16"/>
      <c r="AAT87" s="16"/>
      <c r="AAU87" s="16"/>
      <c r="AAV87" s="16"/>
      <c r="AAW87" s="16"/>
      <c r="AAX87" s="16"/>
      <c r="AAY87" s="16"/>
      <c r="AAZ87" s="16"/>
      <c r="ABA87" s="16"/>
      <c r="ABB87" s="16"/>
      <c r="ABC87" s="16"/>
      <c r="ABD87" s="16"/>
      <c r="ABE87" s="16"/>
      <c r="ABF87" s="16"/>
      <c r="ABG87" s="16"/>
      <c r="ABH87" s="16"/>
      <c r="ABI87" s="16"/>
      <c r="ABJ87" s="16"/>
      <c r="ABK87" s="16"/>
      <c r="ABL87" s="16"/>
      <c r="ABM87" s="16"/>
      <c r="ABN87" s="16"/>
      <c r="ABO87" s="16"/>
      <c r="ABP87" s="16"/>
      <c r="ABQ87" s="16"/>
      <c r="ABR87" s="16"/>
      <c r="ABS87" s="16"/>
      <c r="ABT87" s="16"/>
      <c r="ABU87" s="16"/>
      <c r="ABV87" s="16"/>
      <c r="ABW87" s="16"/>
      <c r="ABX87" s="16"/>
      <c r="ABY87" s="16"/>
      <c r="ABZ87" s="16"/>
      <c r="ACA87" s="16"/>
      <c r="ACB87" s="16"/>
      <c r="ACC87" s="16"/>
      <c r="ACD87" s="16"/>
      <c r="ACE87" s="16"/>
      <c r="ACF87" s="16"/>
      <c r="ACG87" s="16"/>
      <c r="ACH87" s="16"/>
      <c r="ACI87" s="16"/>
      <c r="ACJ87" s="16"/>
      <c r="ACK87" s="16"/>
      <c r="ACL87" s="16"/>
      <c r="ACM87" s="16"/>
      <c r="ACN87" s="16"/>
      <c r="ACO87" s="16"/>
      <c r="ACP87" s="16"/>
      <c r="ACQ87" s="16"/>
      <c r="ACR87" s="16"/>
      <c r="ACS87" s="16"/>
      <c r="ACT87" s="16"/>
      <c r="ACU87" s="16"/>
      <c r="ACV87" s="16"/>
      <c r="ACW87" s="16"/>
      <c r="ACX87" s="16"/>
      <c r="ACY87" s="16"/>
      <c r="ACZ87" s="16"/>
      <c r="ADA87" s="16"/>
      <c r="ADB87" s="16"/>
      <c r="ADC87" s="16"/>
      <c r="ADD87" s="16"/>
      <c r="ADE87" s="16"/>
      <c r="ADF87" s="16"/>
      <c r="ADG87" s="16"/>
      <c r="ADH87" s="16"/>
      <c r="ADI87" s="16"/>
      <c r="ADJ87" s="16"/>
      <c r="ADK87" s="16"/>
      <c r="ADL87" s="16"/>
      <c r="ADM87" s="16"/>
      <c r="ADN87" s="16"/>
      <c r="ADO87" s="16"/>
      <c r="ADP87" s="16"/>
      <c r="ADQ87" s="16"/>
      <c r="ADR87" s="16"/>
      <c r="ADS87" s="16"/>
      <c r="ADT87" s="16"/>
      <c r="ADU87" s="16"/>
      <c r="ADV87" s="16"/>
      <c r="ADW87" s="16"/>
      <c r="ADX87" s="16"/>
      <c r="ADY87" s="16"/>
      <c r="ADZ87" s="16"/>
      <c r="AEA87" s="16"/>
      <c r="AEB87" s="16"/>
      <c r="AEC87" s="16"/>
      <c r="AED87" s="16"/>
      <c r="AEE87" s="16"/>
      <c r="AEF87" s="16"/>
      <c r="AEG87" s="16"/>
      <c r="AEH87" s="16"/>
      <c r="AEI87" s="16"/>
      <c r="AEJ87" s="16"/>
      <c r="AEK87" s="16"/>
      <c r="AEL87" s="16"/>
      <c r="AEM87" s="16"/>
      <c r="AEN87" s="16"/>
      <c r="AEO87" s="16"/>
      <c r="AEP87" s="16"/>
      <c r="AEQ87" s="16"/>
      <c r="AER87" s="16"/>
      <c r="AES87" s="16"/>
      <c r="AET87" s="16"/>
      <c r="AEU87" s="16"/>
      <c r="AEV87" s="16"/>
      <c r="AEW87" s="16"/>
      <c r="AEX87" s="16"/>
      <c r="AEY87" s="16"/>
      <c r="AEZ87" s="16"/>
      <c r="AFA87" s="16"/>
      <c r="AFB87" s="16"/>
      <c r="AFC87" s="16"/>
      <c r="AFD87" s="16"/>
      <c r="AFE87" s="16"/>
      <c r="AFF87" s="16"/>
      <c r="AFG87" s="16"/>
      <c r="AFH87" s="16"/>
      <c r="AFI87" s="16"/>
      <c r="AFJ87" s="16"/>
      <c r="AFK87" s="16"/>
      <c r="AFL87" s="16"/>
      <c r="AFM87" s="16"/>
      <c r="AFN87" s="16"/>
      <c r="AFO87" s="16"/>
      <c r="AFP87" s="16"/>
      <c r="AFQ87" s="16"/>
      <c r="AFR87" s="16"/>
      <c r="AFS87" s="16"/>
      <c r="AFT87" s="16"/>
      <c r="AFU87" s="16"/>
      <c r="AFV87" s="16"/>
      <c r="AFW87" s="16"/>
      <c r="AFX87" s="16"/>
      <c r="AFY87" s="16"/>
      <c r="AFZ87" s="16"/>
      <c r="AGA87" s="16"/>
      <c r="AGB87" s="16"/>
      <c r="AGC87" s="16"/>
      <c r="AGD87" s="16"/>
      <c r="AGE87" s="16"/>
      <c r="AGF87" s="16"/>
      <c r="AGG87" s="16"/>
      <c r="AGH87" s="16"/>
      <c r="AGI87" s="16"/>
      <c r="AGJ87" s="16"/>
      <c r="AGK87" s="16"/>
      <c r="AGL87" s="16"/>
      <c r="AGM87" s="16"/>
      <c r="AGN87" s="16"/>
      <c r="AGO87" s="16"/>
      <c r="AGP87" s="16"/>
      <c r="AGQ87" s="16"/>
      <c r="AGR87" s="16"/>
      <c r="AGS87" s="16"/>
      <c r="AGT87" s="16"/>
      <c r="AGU87" s="16"/>
      <c r="AGV87" s="16"/>
      <c r="AGW87" s="16"/>
      <c r="AGX87" s="16"/>
      <c r="AGY87" s="16"/>
      <c r="AGZ87" s="16"/>
      <c r="AHA87" s="16"/>
      <c r="AHB87" s="16"/>
      <c r="AHC87" s="16"/>
      <c r="AHD87" s="16"/>
      <c r="AHE87" s="16"/>
      <c r="AHF87" s="16"/>
      <c r="AHG87" s="16"/>
      <c r="AHH87" s="16"/>
      <c r="AHI87" s="16"/>
      <c r="AHJ87" s="16"/>
      <c r="AHK87" s="16"/>
      <c r="AHL87" s="16"/>
      <c r="AHM87" s="16"/>
      <c r="AHN87" s="16"/>
      <c r="AHO87" s="16"/>
      <c r="AHP87" s="16"/>
      <c r="AHQ87" s="16"/>
      <c r="AHR87" s="16"/>
      <c r="AHS87" s="16"/>
      <c r="AHT87" s="16"/>
      <c r="AHU87" s="16"/>
      <c r="AHV87" s="16"/>
      <c r="AHW87" s="16"/>
      <c r="AHX87" s="16"/>
      <c r="AHY87" s="16"/>
      <c r="AHZ87" s="16"/>
      <c r="AIA87" s="16"/>
      <c r="AIB87" s="16"/>
      <c r="AIC87" s="16"/>
      <c r="AID87" s="16"/>
      <c r="AIE87" s="16"/>
      <c r="AIF87" s="16"/>
      <c r="AIG87" s="16"/>
      <c r="AIH87" s="16"/>
      <c r="AII87" s="16"/>
      <c r="AIJ87" s="16"/>
      <c r="AIK87" s="16"/>
      <c r="AIL87" s="16"/>
      <c r="AIM87" s="16"/>
      <c r="AIN87" s="16"/>
      <c r="AIO87" s="16"/>
      <c r="AIP87" s="16"/>
      <c r="AIQ87" s="16"/>
      <c r="AIR87" s="16"/>
      <c r="AIS87" s="16"/>
      <c r="AIT87" s="16"/>
      <c r="AIU87" s="16"/>
      <c r="AIV87" s="16"/>
      <c r="AIW87" s="16"/>
      <c r="AIX87" s="16"/>
      <c r="AIY87" s="16"/>
      <c r="AIZ87" s="16"/>
      <c r="AJA87" s="16"/>
      <c r="AJB87" s="16"/>
      <c r="AJC87" s="16"/>
      <c r="AJD87" s="16"/>
      <c r="AJE87" s="16"/>
      <c r="AJF87" s="16"/>
      <c r="AJG87" s="16"/>
      <c r="AJH87" s="16"/>
      <c r="AJI87" s="16"/>
      <c r="AJJ87" s="16"/>
      <c r="AJK87" s="16"/>
      <c r="AJL87" s="16"/>
      <c r="AJM87" s="16"/>
      <c r="AJN87" s="16"/>
      <c r="AJO87" s="16"/>
      <c r="AJP87" s="16"/>
      <c r="AJQ87" s="16"/>
      <c r="AJR87" s="16"/>
      <c r="AJS87" s="16"/>
      <c r="AJT87" s="16"/>
      <c r="AJU87" s="16"/>
      <c r="AJV87" s="16"/>
      <c r="AJW87" s="16"/>
      <c r="AJX87" s="16"/>
      <c r="AJY87" s="16"/>
      <c r="AJZ87" s="16"/>
      <c r="AKA87" s="16"/>
      <c r="AKB87" s="16"/>
      <c r="AKC87" s="16"/>
      <c r="AKD87" s="16"/>
      <c r="AKE87" s="16"/>
      <c r="AKF87" s="16"/>
      <c r="AKG87" s="16"/>
      <c r="AKH87" s="16"/>
      <c r="AKI87" s="16"/>
      <c r="AKJ87" s="16"/>
      <c r="AKK87" s="16"/>
      <c r="AKL87" s="16"/>
      <c r="AKM87" s="16"/>
      <c r="AKN87" s="16"/>
      <c r="AKO87" s="16"/>
      <c r="AKP87" s="16"/>
      <c r="AKQ87" s="16"/>
      <c r="AKR87" s="16"/>
      <c r="AKS87" s="16"/>
      <c r="AKT87" s="16"/>
      <c r="AKU87" s="16"/>
      <c r="AKV87" s="16"/>
      <c r="AKW87" s="16"/>
      <c r="AKX87" s="16"/>
      <c r="AKY87" s="16"/>
      <c r="AKZ87" s="16"/>
      <c r="ALA87" s="16"/>
      <c r="ALB87" s="16"/>
      <c r="ALC87" s="16"/>
      <c r="ALD87" s="16"/>
      <c r="ALE87" s="16"/>
      <c r="ALF87" s="16"/>
      <c r="ALG87" s="16"/>
      <c r="ALH87" s="16"/>
      <c r="ALI87" s="16"/>
      <c r="ALJ87" s="16"/>
      <c r="ALK87" s="16"/>
      <c r="ALL87" s="16"/>
      <c r="ALM87" s="16"/>
      <c r="ALN87" s="16"/>
      <c r="ALO87" s="16"/>
      <c r="ALP87" s="16"/>
      <c r="ALQ87" s="16"/>
      <c r="ALR87" s="16"/>
    </row>
    <row r="88" spans="2:1006" x14ac:dyDescent="0.55000000000000004">
      <c r="C88" s="11" t="s">
        <v>108</v>
      </c>
      <c r="D88" s="11" t="s">
        <v>26</v>
      </c>
      <c r="H88" s="32">
        <f>H84</f>
        <v>-13528832.532296002</v>
      </c>
      <c r="I88" s="32">
        <f t="shared" ref="I88:AB88" si="48">I84</f>
        <v>1522807.8703703703</v>
      </c>
      <c r="J88" s="32">
        <f t="shared" si="48"/>
        <v>1555496.6004050924</v>
      </c>
      <c r="K88" s="32">
        <f t="shared" si="48"/>
        <v>1588819.4351992551</v>
      </c>
      <c r="L88" s="32">
        <f t="shared" si="48"/>
        <v>1622789.1259849509</v>
      </c>
      <c r="M88" s="32">
        <f t="shared" si="48"/>
        <v>1657418.6757922629</v>
      </c>
      <c r="N88" s="32">
        <f t="shared" si="48"/>
        <v>1692721.3444670979</v>
      </c>
      <c r="O88" s="32">
        <f t="shared" si="48"/>
        <v>1728710.653788561</v>
      </c>
      <c r="P88" s="32">
        <f t="shared" si="48"/>
        <v>1765400.3926878506</v>
      </c>
      <c r="Q88" s="32">
        <f t="shared" si="48"/>
        <v>1802804.6225706711</v>
      </c>
      <c r="R88" s="32">
        <f t="shared" si="48"/>
        <v>1840937.6827452602</v>
      </c>
      <c r="S88" s="32">
        <f t="shared" si="48"/>
        <v>1879814.1959580882</v>
      </c>
      <c r="T88" s="32">
        <f t="shared" si="48"/>
        <v>1919449.0740394006</v>
      </c>
      <c r="U88" s="32">
        <f t="shared" si="48"/>
        <v>1959857.5236607743</v>
      </c>
      <c r="V88" s="32">
        <f t="shared" si="48"/>
        <v>2001055.0522069139</v>
      </c>
      <c r="W88" s="32">
        <f t="shared" si="48"/>
        <v>2043057.4737639679</v>
      </c>
      <c r="X88" s="32">
        <f t="shared" si="48"/>
        <v>2085880.9152266691</v>
      </c>
      <c r="Y88" s="32">
        <f t="shared" si="48"/>
        <v>2129541.822526671</v>
      </c>
      <c r="Z88" s="32">
        <f t="shared" si="48"/>
        <v>2174056.9669844853</v>
      </c>
      <c r="AA88" s="32">
        <f t="shared" si="48"/>
        <v>2219443.4517874736</v>
      </c>
      <c r="AB88" s="32">
        <f t="shared" si="48"/>
        <v>2265718.7185964147</v>
      </c>
    </row>
    <row r="89" spans="2:1006" x14ac:dyDescent="0.55000000000000004">
      <c r="C89" s="11" t="s">
        <v>110</v>
      </c>
      <c r="D89" s="11" t="s">
        <v>26</v>
      </c>
      <c r="H89" s="32">
        <f>H53</f>
        <v>0</v>
      </c>
      <c r="I89" s="32">
        <f t="shared" ref="I89:AB89" si="49">I53</f>
        <v>-8126312.5</v>
      </c>
      <c r="J89" s="32">
        <f t="shared" si="49"/>
        <v>-8000227.3984375009</v>
      </c>
      <c r="K89" s="32">
        <f t="shared" si="49"/>
        <v>-7871696.4642314455</v>
      </c>
      <c r="L89" s="32">
        <f t="shared" si="49"/>
        <v>-7740670.514058047</v>
      </c>
      <c r="M89" s="32">
        <f t="shared" si="49"/>
        <v>-7607099.3933727015</v>
      </c>
      <c r="N89" s="32">
        <f t="shared" si="49"/>
        <v>6529068.0429445188</v>
      </c>
      <c r="O89" s="32">
        <f t="shared" si="49"/>
        <v>6667883.950327307</v>
      </c>
      <c r="P89" s="32">
        <f t="shared" si="49"/>
        <v>6809401.514653136</v>
      </c>
      <c r="Q89" s="32">
        <f t="shared" si="49"/>
        <v>6953674.972772588</v>
      </c>
      <c r="R89" s="32">
        <f t="shared" si="49"/>
        <v>7100759.6334460024</v>
      </c>
      <c r="S89" s="32">
        <f t="shared" si="49"/>
        <v>7250711.8986954801</v>
      </c>
      <c r="T89" s="32">
        <f t="shared" si="49"/>
        <v>7403589.2855805429</v>
      </c>
      <c r="U89" s="32">
        <f t="shared" si="49"/>
        <v>7559450.4484058414</v>
      </c>
      <c r="V89" s="32">
        <f t="shared" si="49"/>
        <v>7718355.2013695221</v>
      </c>
      <c r="W89" s="32">
        <f t="shared" si="49"/>
        <v>7880364.5416610157</v>
      </c>
      <c r="X89" s="32">
        <f t="shared" si="49"/>
        <v>8045540.6730171489</v>
      </c>
      <c r="Y89" s="32">
        <f t="shared" si="49"/>
        <v>8213947.0297457306</v>
      </c>
      <c r="Z89" s="32">
        <f t="shared" si="49"/>
        <v>8385648.3012258708</v>
      </c>
      <c r="AA89" s="32">
        <f t="shared" si="49"/>
        <v>8560710.4568945412</v>
      </c>
      <c r="AB89" s="32">
        <f t="shared" si="49"/>
        <v>8739200.771729026</v>
      </c>
    </row>
    <row r="90" spans="2:1006" x14ac:dyDescent="0.55000000000000004">
      <c r="C90" s="11" t="s">
        <v>111</v>
      </c>
      <c r="D90" s="11" t="s">
        <v>26</v>
      </c>
      <c r="H90" s="32">
        <f>H74</f>
        <v>0</v>
      </c>
      <c r="I90" s="32">
        <f t="shared" ref="I90:AB90" si="50">I74</f>
        <v>3670625.88540076</v>
      </c>
      <c r="J90" s="32">
        <f t="shared" si="50"/>
        <v>3626409.3920258833</v>
      </c>
      <c r="K90" s="32">
        <f t="shared" si="50"/>
        <v>3573248.0624323343</v>
      </c>
      <c r="L90" s="32">
        <f t="shared" si="50"/>
        <v>3510442.7199534317</v>
      </c>
      <c r="M90" s="32">
        <f t="shared" si="50"/>
        <v>3437246.3733531996</v>
      </c>
      <c r="N90" s="32">
        <f t="shared" si="50"/>
        <v>3352861.0621168804</v>
      </c>
      <c r="O90" s="32">
        <f t="shared" si="50"/>
        <v>3256434.4957534452</v>
      </c>
      <c r="P90" s="32">
        <f t="shared" si="50"/>
        <v>3147056.4737024005</v>
      </c>
      <c r="Q90" s="32">
        <f t="shared" si="50"/>
        <v>3023755.0715653128</v>
      </c>
      <c r="R90" s="32">
        <f t="shared" si="50"/>
        <v>2885492.5784539338</v>
      </c>
      <c r="S90" s="32">
        <f t="shared" si="50"/>
        <v>2731161.1692578909</v>
      </c>
      <c r="T90" s="32">
        <f t="shared" si="50"/>
        <v>2559578.2945817234</v>
      </c>
      <c r="U90" s="32">
        <f t="shared" si="50"/>
        <v>2369481.769979361</v>
      </c>
      <c r="V90" s="32">
        <f t="shared" si="50"/>
        <v>2159524.54491959</v>
      </c>
      <c r="W90" s="32">
        <f t="shared" si="50"/>
        <v>1928269.1306437938</v>
      </c>
      <c r="X90" s="32">
        <f t="shared" si="50"/>
        <v>1674181.6647223323</v>
      </c>
      <c r="Y90" s="32">
        <f t="shared" si="50"/>
        <v>1395625.5886729027</v>
      </c>
      <c r="Z90" s="32">
        <f t="shared" si="50"/>
        <v>1090854.9134674026</v>
      </c>
      <c r="AA90" s="32">
        <f t="shared" si="50"/>
        <v>758007.04611709365</v>
      </c>
      <c r="AB90" s="32">
        <f t="shared" si="50"/>
        <v>395095.14878274524</v>
      </c>
    </row>
    <row r="91" spans="2:1006" x14ac:dyDescent="0.55000000000000004">
      <c r="C91" s="11" t="s">
        <v>112</v>
      </c>
      <c r="D91" s="11" t="s">
        <v>26</v>
      </c>
      <c r="H91" s="32">
        <f>H89-H90</f>
        <v>0</v>
      </c>
      <c r="I91" s="32">
        <f t="shared" ref="I91:AB91" si="51">I89-I90</f>
        <v>-11796938.385400761</v>
      </c>
      <c r="J91" s="32">
        <f t="shared" si="51"/>
        <v>-11626636.790463384</v>
      </c>
      <c r="K91" s="32">
        <f t="shared" si="51"/>
        <v>-11444944.52666378</v>
      </c>
      <c r="L91" s="32">
        <f t="shared" si="51"/>
        <v>-11251113.234011479</v>
      </c>
      <c r="M91" s="32">
        <f t="shared" si="51"/>
        <v>-11044345.766725902</v>
      </c>
      <c r="N91" s="32">
        <f t="shared" si="51"/>
        <v>3176206.9808276384</v>
      </c>
      <c r="O91" s="32">
        <f t="shared" si="51"/>
        <v>3411449.4545738618</v>
      </c>
      <c r="P91" s="32">
        <f t="shared" si="51"/>
        <v>3662345.0409507356</v>
      </c>
      <c r="Q91" s="32">
        <f t="shared" si="51"/>
        <v>3929919.9012072752</v>
      </c>
      <c r="R91" s="32">
        <f t="shared" si="51"/>
        <v>4215267.0549920686</v>
      </c>
      <c r="S91" s="32">
        <f t="shared" si="51"/>
        <v>4519550.7294375896</v>
      </c>
      <c r="T91" s="32">
        <f t="shared" si="51"/>
        <v>4844010.9909988195</v>
      </c>
      <c r="U91" s="32">
        <f t="shared" si="51"/>
        <v>5189968.6784264799</v>
      </c>
      <c r="V91" s="32">
        <f t="shared" si="51"/>
        <v>5558830.6564499326</v>
      </c>
      <c r="W91" s="32">
        <f t="shared" si="51"/>
        <v>5952095.4110172223</v>
      </c>
      <c r="X91" s="32">
        <f t="shared" si="51"/>
        <v>6371359.0082948171</v>
      </c>
      <c r="Y91" s="32">
        <f t="shared" si="51"/>
        <v>6818321.4410728281</v>
      </c>
      <c r="Z91" s="32">
        <f t="shared" si="51"/>
        <v>7294793.3877584683</v>
      </c>
      <c r="AA91" s="32">
        <f t="shared" si="51"/>
        <v>7802703.4107774477</v>
      </c>
      <c r="AB91" s="32">
        <f t="shared" si="51"/>
        <v>8344105.622946281</v>
      </c>
    </row>
    <row r="92" spans="2:1006" x14ac:dyDescent="0.55000000000000004">
      <c r="C92" s="11" t="s">
        <v>113</v>
      </c>
      <c r="D92" s="11" t="s">
        <v>26</v>
      </c>
      <c r="E92" s="40">
        <f>E56</f>
        <v>0.21</v>
      </c>
      <c r="H92" s="32">
        <f>$E$92*H91</f>
        <v>0</v>
      </c>
      <c r="I92" s="32">
        <f t="shared" ref="I92:AB92" si="52">$E$92*I91</f>
        <v>-2477357.0609341599</v>
      </c>
      <c r="J92" s="32">
        <f t="shared" si="52"/>
        <v>-2441593.7259973106</v>
      </c>
      <c r="K92" s="32">
        <f t="shared" si="52"/>
        <v>-2403438.3505993937</v>
      </c>
      <c r="L92" s="32">
        <f t="shared" si="52"/>
        <v>-2362733.7791424105</v>
      </c>
      <c r="M92" s="32">
        <f t="shared" si="52"/>
        <v>-2319312.6110124392</v>
      </c>
      <c r="N92" s="32">
        <f t="shared" si="52"/>
        <v>667003.46597380401</v>
      </c>
      <c r="O92" s="32">
        <f t="shared" si="52"/>
        <v>716404.38546051097</v>
      </c>
      <c r="P92" s="32">
        <f t="shared" si="52"/>
        <v>769092.45859965449</v>
      </c>
      <c r="Q92" s="32">
        <f t="shared" si="52"/>
        <v>825283.17925352778</v>
      </c>
      <c r="R92" s="32">
        <f t="shared" si="52"/>
        <v>885206.08154833433</v>
      </c>
      <c r="S92" s="32">
        <f t="shared" si="52"/>
        <v>949105.65318189375</v>
      </c>
      <c r="T92" s="32">
        <f t="shared" si="52"/>
        <v>1017242.308109752</v>
      </c>
      <c r="U92" s="32">
        <f t="shared" si="52"/>
        <v>1089893.4224695608</v>
      </c>
      <c r="V92" s="32">
        <f t="shared" si="52"/>
        <v>1167354.4378544858</v>
      </c>
      <c r="W92" s="32">
        <f t="shared" si="52"/>
        <v>1249940.0363136167</v>
      </c>
      <c r="X92" s="32">
        <f t="shared" si="52"/>
        <v>1337985.3917419116</v>
      </c>
      <c r="Y92" s="32">
        <f t="shared" si="52"/>
        <v>1431847.5026252938</v>
      </c>
      <c r="Z92" s="32">
        <f t="shared" si="52"/>
        <v>1531906.6114292783</v>
      </c>
      <c r="AA92" s="32">
        <f t="shared" si="52"/>
        <v>1638567.716263264</v>
      </c>
      <c r="AB92" s="32">
        <f t="shared" si="52"/>
        <v>1752262.1808187189</v>
      </c>
    </row>
    <row r="93" spans="2:1006" x14ac:dyDescent="0.55000000000000004">
      <c r="C93" s="11" t="s">
        <v>109</v>
      </c>
      <c r="D93" s="11" t="s">
        <v>26</v>
      </c>
      <c r="H93" s="32">
        <f>H88-H92</f>
        <v>-13528832.532296002</v>
      </c>
      <c r="I93" s="32">
        <f t="shared" ref="I93:AB93" si="53">I88-I92</f>
        <v>4000164.9313045302</v>
      </c>
      <c r="J93" s="32">
        <f t="shared" si="53"/>
        <v>3997090.3264024029</v>
      </c>
      <c r="K93" s="32">
        <f t="shared" si="53"/>
        <v>3992257.7857986488</v>
      </c>
      <c r="L93" s="32">
        <f t="shared" si="53"/>
        <v>3985522.9051273614</v>
      </c>
      <c r="M93" s="32">
        <f t="shared" si="53"/>
        <v>3976731.2868047021</v>
      </c>
      <c r="N93" s="32">
        <f t="shared" si="53"/>
        <v>1025717.8784932939</v>
      </c>
      <c r="O93" s="32">
        <f t="shared" si="53"/>
        <v>1012306.26832805</v>
      </c>
      <c r="P93" s="32">
        <f t="shared" si="53"/>
        <v>996307.93408819614</v>
      </c>
      <c r="Q93" s="32">
        <f t="shared" si="53"/>
        <v>977521.44331714336</v>
      </c>
      <c r="R93" s="32">
        <f t="shared" si="53"/>
        <v>955731.60119692585</v>
      </c>
      <c r="S93" s="32">
        <f t="shared" si="53"/>
        <v>930708.5427761944</v>
      </c>
      <c r="T93" s="32">
        <f t="shared" si="53"/>
        <v>902206.76592964854</v>
      </c>
      <c r="U93" s="32">
        <f t="shared" si="53"/>
        <v>869964.10119121359</v>
      </c>
      <c r="V93" s="32">
        <f t="shared" si="53"/>
        <v>833700.61435242812</v>
      </c>
      <c r="W93" s="32">
        <f t="shared" si="53"/>
        <v>793117.43745035119</v>
      </c>
      <c r="X93" s="32">
        <f t="shared" si="53"/>
        <v>747895.5234847574</v>
      </c>
      <c r="Y93" s="32">
        <f t="shared" si="53"/>
        <v>697694.3199013772</v>
      </c>
      <c r="Z93" s="32">
        <f t="shared" si="53"/>
        <v>642150.355555207</v>
      </c>
      <c r="AA93" s="32">
        <f t="shared" si="53"/>
        <v>580875.73552420968</v>
      </c>
      <c r="AB93" s="32">
        <f t="shared" si="53"/>
        <v>513456.5377776958</v>
      </c>
    </row>
    <row r="94" spans="2:1006" x14ac:dyDescent="0.55000000000000004">
      <c r="C94" s="11" t="s">
        <v>114</v>
      </c>
      <c r="D94" s="11" t="s">
        <v>10</v>
      </c>
      <c r="E94" s="40">
        <f>IRR(H93:AB93)</f>
        <v>0.20413774783166572</v>
      </c>
    </row>
    <row r="96" spans="2:1006" x14ac:dyDescent="0.55000000000000004">
      <c r="C96" s="11" t="s">
        <v>47</v>
      </c>
      <c r="D96" s="11" t="s">
        <v>10</v>
      </c>
      <c r="E96" s="24">
        <f>Input!E34</f>
        <v>0.12</v>
      </c>
      <c r="F96" s="21">
        <f>NPV(E96,H93:AB93)</f>
        <v>3876931.507923407</v>
      </c>
    </row>
    <row r="98" spans="3:28" x14ac:dyDescent="0.55000000000000004">
      <c r="D98" s="11" t="s">
        <v>8</v>
      </c>
    </row>
    <row r="99" spans="3:28" x14ac:dyDescent="0.55000000000000004">
      <c r="C99" s="11" t="s">
        <v>117</v>
      </c>
      <c r="D99" s="11" t="s">
        <v>26</v>
      </c>
      <c r="F99" s="20">
        <f>SUM(H99:AB99)</f>
        <v>32431122.294804342</v>
      </c>
      <c r="H99" s="15">
        <f t="shared" ref="H99:AB99" si="54">H93*H5</f>
        <v>0</v>
      </c>
      <c r="I99" s="15">
        <f t="shared" si="54"/>
        <v>4000164.9313045302</v>
      </c>
      <c r="J99" s="15">
        <f t="shared" si="54"/>
        <v>3997090.3264024029</v>
      </c>
      <c r="K99" s="15">
        <f t="shared" si="54"/>
        <v>3992257.7857986488</v>
      </c>
      <c r="L99" s="15">
        <f t="shared" si="54"/>
        <v>3985522.9051273614</v>
      </c>
      <c r="M99" s="15">
        <f t="shared" si="54"/>
        <v>3976731.2868047021</v>
      </c>
      <c r="N99" s="15">
        <f t="shared" si="54"/>
        <v>1025717.8784932939</v>
      </c>
      <c r="O99" s="15">
        <f t="shared" si="54"/>
        <v>1012306.26832805</v>
      </c>
      <c r="P99" s="15">
        <f t="shared" si="54"/>
        <v>996307.93408819614</v>
      </c>
      <c r="Q99" s="15">
        <f t="shared" si="54"/>
        <v>977521.44331714336</v>
      </c>
      <c r="R99" s="15">
        <f t="shared" si="54"/>
        <v>955731.60119692585</v>
      </c>
      <c r="S99" s="15">
        <f t="shared" si="54"/>
        <v>930708.5427761944</v>
      </c>
      <c r="T99" s="15">
        <f t="shared" si="54"/>
        <v>902206.76592964854</v>
      </c>
      <c r="U99" s="15">
        <f t="shared" si="54"/>
        <v>869964.10119121359</v>
      </c>
      <c r="V99" s="15">
        <f t="shared" si="54"/>
        <v>833700.61435242812</v>
      </c>
      <c r="W99" s="15">
        <f t="shared" si="54"/>
        <v>793117.43745035119</v>
      </c>
      <c r="X99" s="15">
        <f t="shared" si="54"/>
        <v>747895.5234847574</v>
      </c>
      <c r="Y99" s="15">
        <f t="shared" si="54"/>
        <v>697694.3199013772</v>
      </c>
      <c r="Z99" s="15">
        <f t="shared" si="54"/>
        <v>642150.355555207</v>
      </c>
      <c r="AA99" s="15">
        <f t="shared" si="54"/>
        <v>580875.73552420968</v>
      </c>
      <c r="AB99" s="15">
        <f t="shared" si="54"/>
        <v>513456.5377776958</v>
      </c>
    </row>
    <row r="100" spans="3:28" x14ac:dyDescent="0.55000000000000004">
      <c r="C100" s="11" t="s">
        <v>118</v>
      </c>
      <c r="D100" s="11" t="s">
        <v>26</v>
      </c>
      <c r="F100" s="20">
        <f>SUM(H100:AB100)</f>
        <v>13528832.532296002</v>
      </c>
      <c r="H100" s="15">
        <f t="shared" ref="H100:AB100" si="55">-H93*H4</f>
        <v>13528832.532296002</v>
      </c>
      <c r="I100" s="15">
        <f t="shared" si="55"/>
        <v>0</v>
      </c>
      <c r="J100" s="15">
        <f t="shared" si="55"/>
        <v>0</v>
      </c>
      <c r="K100" s="15">
        <f t="shared" si="55"/>
        <v>0</v>
      </c>
      <c r="L100" s="15">
        <f t="shared" si="55"/>
        <v>0</v>
      </c>
      <c r="M100" s="15">
        <f t="shared" si="55"/>
        <v>0</v>
      </c>
      <c r="N100" s="15">
        <f t="shared" si="55"/>
        <v>0</v>
      </c>
      <c r="O100" s="15">
        <f t="shared" si="55"/>
        <v>0</v>
      </c>
      <c r="P100" s="15">
        <f t="shared" si="55"/>
        <v>0</v>
      </c>
      <c r="Q100" s="15">
        <f t="shared" si="55"/>
        <v>0</v>
      </c>
      <c r="R100" s="15">
        <f t="shared" si="55"/>
        <v>0</v>
      </c>
      <c r="S100" s="15">
        <f t="shared" si="55"/>
        <v>0</v>
      </c>
      <c r="T100" s="15">
        <f t="shared" si="55"/>
        <v>0</v>
      </c>
      <c r="U100" s="15">
        <f t="shared" si="55"/>
        <v>0</v>
      </c>
      <c r="V100" s="15">
        <f t="shared" si="55"/>
        <v>0</v>
      </c>
      <c r="W100" s="15">
        <f t="shared" si="55"/>
        <v>0</v>
      </c>
      <c r="X100" s="15">
        <f t="shared" si="55"/>
        <v>0</v>
      </c>
      <c r="Y100" s="15">
        <f t="shared" si="55"/>
        <v>0</v>
      </c>
      <c r="Z100" s="15">
        <f t="shared" si="55"/>
        <v>0</v>
      </c>
      <c r="AA100" s="15">
        <f t="shared" si="55"/>
        <v>0</v>
      </c>
      <c r="AB100" s="15">
        <f t="shared" si="55"/>
        <v>0</v>
      </c>
    </row>
    <row r="101" spans="3:28" x14ac:dyDescent="0.55000000000000004">
      <c r="C101" s="11" t="s">
        <v>119</v>
      </c>
      <c r="F101" s="20">
        <f>F99/F100</f>
        <v>2.3971855825242003</v>
      </c>
    </row>
    <row r="103" spans="3:28" x14ac:dyDescent="0.55000000000000004">
      <c r="C103" s="11" t="s">
        <v>120</v>
      </c>
      <c r="D103" s="11" t="s">
        <v>26</v>
      </c>
      <c r="H103" s="15">
        <f>G103+H93</f>
        <v>-13528832.532296002</v>
      </c>
      <c r="I103" s="15">
        <f t="shared" ref="I103:AB103" si="56">H103+I93</f>
        <v>-9528667.6009914726</v>
      </c>
      <c r="J103" s="15">
        <f t="shared" si="56"/>
        <v>-5531577.2745890692</v>
      </c>
      <c r="K103" s="15">
        <f t="shared" si="56"/>
        <v>-1539319.4887904203</v>
      </c>
      <c r="L103" s="15">
        <f t="shared" si="56"/>
        <v>2446203.4163369411</v>
      </c>
      <c r="M103" s="15">
        <f t="shared" si="56"/>
        <v>6422934.7031416427</v>
      </c>
      <c r="N103" s="15">
        <f t="shared" si="56"/>
        <v>7448652.5816349369</v>
      </c>
      <c r="O103" s="15">
        <f t="shared" si="56"/>
        <v>8460958.849962987</v>
      </c>
      <c r="P103" s="15">
        <f t="shared" si="56"/>
        <v>9457266.7840511836</v>
      </c>
      <c r="Q103" s="15">
        <f t="shared" si="56"/>
        <v>10434788.227368327</v>
      </c>
      <c r="R103" s="15">
        <f t="shared" si="56"/>
        <v>11390519.828565253</v>
      </c>
      <c r="S103" s="15">
        <f t="shared" si="56"/>
        <v>12321228.371341448</v>
      </c>
      <c r="T103" s="15">
        <f t="shared" si="56"/>
        <v>13223435.137271097</v>
      </c>
      <c r="U103" s="15">
        <f t="shared" si="56"/>
        <v>14093399.23846231</v>
      </c>
      <c r="V103" s="15">
        <f t="shared" si="56"/>
        <v>14927099.852814738</v>
      </c>
      <c r="W103" s="15">
        <f t="shared" si="56"/>
        <v>15720217.290265089</v>
      </c>
      <c r="X103" s="15">
        <f t="shared" si="56"/>
        <v>16468112.813749846</v>
      </c>
      <c r="Y103" s="15">
        <f t="shared" si="56"/>
        <v>17165807.133651223</v>
      </c>
      <c r="Z103" s="15">
        <f t="shared" si="56"/>
        <v>17807957.48920643</v>
      </c>
      <c r="AA103" s="15">
        <f t="shared" si="56"/>
        <v>18388833.224730641</v>
      </c>
      <c r="AB103" s="15">
        <f t="shared" si="56"/>
        <v>18902289.762508336</v>
      </c>
    </row>
    <row r="104" spans="3:28" x14ac:dyDescent="0.55000000000000004">
      <c r="C104" s="11" t="s">
        <v>121</v>
      </c>
      <c r="D104" s="11" t="s">
        <v>32</v>
      </c>
      <c r="E104" s="11">
        <f>MATCH(0,H103:AB103)</f>
        <v>4</v>
      </c>
    </row>
  </sheetData>
  <conditionalFormatting sqref="A1:XFD1048576">
    <cfRule type="expression" dxfId="1" priority="2">
      <formula>A1=TRUE</formula>
    </cfRule>
    <cfRule type="expression" dxfId="0" priority="1">
      <formula>AND(A1&lt;&gt;"",A1=FALSE)</formula>
    </cfRule>
  </conditionalFormatting>
  <pageMargins left="0.7" right="0.7" top="0.75" bottom="0.75" header="0.3" footer="0.3"/>
  <ignoredErrors>
    <ignoredError sqref="H9:J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89074-5407-4654-BC0A-70A4238AE5C2}">
  <dimension ref="B3:B10"/>
  <sheetViews>
    <sheetView workbookViewId="0">
      <selection activeCell="G16" sqref="G16"/>
    </sheetView>
  </sheetViews>
  <sheetFormatPr defaultRowHeight="14.4" x14ac:dyDescent="0.55000000000000004"/>
  <sheetData>
    <row r="3" spans="2:2" x14ac:dyDescent="0.55000000000000004">
      <c r="B3" t="s">
        <v>85</v>
      </c>
    </row>
    <row r="4" spans="2:2" x14ac:dyDescent="0.55000000000000004">
      <c r="B4" t="s">
        <v>86</v>
      </c>
    </row>
    <row r="5" spans="2:2" x14ac:dyDescent="0.55000000000000004">
      <c r="B5" t="s">
        <v>87</v>
      </c>
    </row>
    <row r="6" spans="2:2" x14ac:dyDescent="0.55000000000000004">
      <c r="B6" t="s">
        <v>88</v>
      </c>
    </row>
    <row r="8" spans="2:2" x14ac:dyDescent="0.55000000000000004">
      <c r="B8" s="3" t="s">
        <v>91</v>
      </c>
    </row>
    <row r="9" spans="2:2" x14ac:dyDescent="0.55000000000000004">
      <c r="B9" t="s">
        <v>89</v>
      </c>
    </row>
    <row r="10" spans="2:2" x14ac:dyDescent="0.55000000000000004">
      <c r="B1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Input</vt:lpstr>
      <vt:lpstr>Model</vt:lpstr>
      <vt:lpstr>Equiations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</dc:creator>
  <cp:lastModifiedBy>Edward Bodmer</cp:lastModifiedBy>
  <dcterms:created xsi:type="dcterms:W3CDTF">2023-06-18T11:53:21Z</dcterms:created>
  <dcterms:modified xsi:type="dcterms:W3CDTF">2023-06-19T02:00:38Z</dcterms:modified>
</cp:coreProperties>
</file>