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comments3.xml" ContentType="application/vnd.openxmlformats-officedocument.spreadsheetml.comment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23.xml" ContentType="application/vnd.openxmlformats-officedocument.spreadsheetml.worksheet+xml"/>
  <Override PartName="/xl/worksheets/sheet9.xml" ContentType="application/vnd.openxmlformats-officedocument.spreadsheetml.worksheet+xml"/>
  <Override PartName="/xl/worksheets/sheet1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8.xml" ContentType="application/vnd.openxmlformats-officedocument.spreadsheetml.worksheet+xml"/>
  <Override PartName="/xl/worksheets/sheet15.xml" ContentType="application/vnd.openxmlformats-officedocument.spreadsheetml.worksheet+xml"/>
  <Override PartName="/xl/worksheets/sheet20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18.xml" ContentType="application/vnd.openxmlformats-officedocument.spreadsheetml.worksheet+xml"/>
  <Override PartName="/xl/worksheets/sheet10.xml" ContentType="application/vnd.openxmlformats-officedocument.spreadsheetml.worksheet+xml"/>
  <Override PartName="/xl/worksheets/sheet16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drawings/vmlDrawing1.vml" ContentType="application/vnd.openxmlformats-officedocument.vmlDrawing"/>
  <Override PartName="/xl/drawings/vmlDrawing5.vml" ContentType="application/vnd.openxmlformats-officedocument.vmlDrawing"/>
  <Override PartName="/xl/styles.xml" ContentType="application/vnd.openxmlformats-officedocument.spreadsheetml.style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workbook.xml" ContentType="application/vnd.openxmlformats-officedocument.spreadsheetml.sheet.main+xml"/>
  <Override PartName="/xl/comments2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shboard" sheetId="1" state="visible" r:id="rId3"/>
    <sheet name="Guide" sheetId="2" state="visible" r:id="rId4"/>
    <sheet name="InpC" sheetId="3" state="visible" r:id="rId5"/>
    <sheet name="InpA" sheetId="4" state="visible" r:id="rId6"/>
    <sheet name="InpM" sheetId="5" state="visible" r:id="rId7"/>
    <sheet name="Solve" sheetId="6" state="visible" r:id="rId8"/>
    <sheet name="Time" sheetId="7" state="visible" r:id="rId9"/>
    <sheet name="TimeM" sheetId="8" state="visible" r:id="rId10"/>
    <sheet name="Esc" sheetId="9" state="visible" r:id="rId11"/>
    <sheet name="ConCost" sheetId="10" state="visible" r:id="rId12"/>
    <sheet name="ConFin" sheetId="11" state="visible" r:id="rId13"/>
    <sheet name="S&amp;U" sheetId="12" state="visible" r:id="rId14"/>
    <sheet name="Ops" sheetId="13" state="visible" r:id="rId15"/>
    <sheet name="OpEx" sheetId="14" state="visible" r:id="rId16"/>
    <sheet name="Acct" sheetId="15" state="visible" r:id="rId17"/>
    <sheet name="Tax" sheetId="16" state="visible" r:id="rId18"/>
    <sheet name="Equity" sheetId="17" state="visible" r:id="rId19"/>
    <sheet name="Metrics" sheetId="18" state="visible" r:id="rId20"/>
    <sheet name="FS" sheetId="19" state="visible" r:id="rId21"/>
    <sheet name="Sensitivity" sheetId="20" state="visible" r:id="rId22"/>
    <sheet name="CorpForecast" sheetId="21" state="visible" r:id="rId23"/>
    <sheet name="Check" sheetId="22" state="visible" r:id="rId24"/>
    <sheet name="Change" sheetId="23" state="visible" r:id="rId25"/>
  </sheets>
  <calcPr iterateCount="200" refMode="A1" iterate="true" iterateDelta="0.0001"/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Model</author>
  </authors>
  <commentList>
    <comment ref="A1" authorId="0">
      <text>
        <r>
          <rPr>
            <sz val="10"/>
            <rFont val="Arial"/>
            <family val="2"/>
          </rPr>
          <t xml:space="preserve">Guide - Color and formatting conventions.</t>
        </r>
      </text>
    </comment>
  </commentList>
</comments>
</file>

<file path=xl/comments23.xml><?xml version="1.0" encoding="utf-8"?>
<comments xmlns="http://schemas.openxmlformats.org/spreadsheetml/2006/main" xmlns:xdr="http://schemas.openxmlformats.org/drawingml/2006/spreadsheetDrawing">
  <authors>
    <author>Model</author>
  </authors>
  <commentList>
    <comment ref="A1" authorId="0">
      <text>
        <r>
          <rPr>
            <sz val="10"/>
            <rFont val="Arial"/>
            <family val="2"/>
          </rPr>
          <t xml:space="preserve">Change - Version history.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Model</author>
  </authors>
  <commentList>
    <comment ref="A1" authorId="0">
      <text>
        <r>
          <rPr>
            <sz val="10"/>
            <rFont val="Arial"/>
            <family val="2"/>
          </rPr>
          <t xml:space="preserve">InpC - Constant inputs.
All hard-coded assumptions live here. Calculation sheets reference Col B (Constant), which is a lookup formula based on the active scenario in B2.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Model</author>
  </authors>
  <commentList>
    <comment ref="A1" authorId="0">
      <text>
        <r>
          <rPr>
            <sz val="10"/>
            <rFont val="Arial"/>
            <family val="2"/>
          </rPr>
          <t xml:space="preserve">InpA - Annual time-series inputs.
Reserved for any year-by-year overrides (e.g. specific energy yield by year). Currently model derives all annual series from constants in InpC.</t>
        </r>
      </text>
    </comment>
  </commentList>
</comments>
</file>

<file path=xl/comments5.xml><?xml version="1.0" encoding="utf-8"?>
<comments xmlns="http://schemas.openxmlformats.org/spreadsheetml/2006/main" xmlns:xdr="http://schemas.openxmlformats.org/drawingml/2006/spreadsheetDrawing">
  <authors>
    <author>Model</author>
  </authors>
  <commentList>
    <comment ref="A1" authorId="0">
      <text>
        <r>
          <rPr>
            <sz val="10"/>
            <rFont val="Arial"/>
            <family val="2"/>
          </rPr>
          <t xml:space="preserve">InpM - Monthly time-series inputs.
Reserved for monthly profiles during construction. Currently the model assumes even monthly spend on hard CAPEX and 100% spend at month 1 for development and transaction costs.</t>
        </r>
      </text>
    </comment>
  </commentList>
</comments>
</file>

<file path=xl/sharedStrings.xml><?xml version="1.0" encoding="utf-8"?>
<sst xmlns="http://schemas.openxmlformats.org/spreadsheetml/2006/main" count="1058" uniqueCount="565">
  <si>
    <t xml:space="preserve">Avantus 20MWac Solar PF Model - Dashboard</t>
  </si>
  <si>
    <t xml:space="preserve">Model version</t>
  </si>
  <si>
    <t xml:space="preserve">Avantus 20MWac Solar PF v1.0</t>
  </si>
  <si>
    <t xml:space="preserve">Active scenario</t>
  </si>
  <si>
    <t xml:space="preserve">KEY ASSUMPTIONS</t>
  </si>
  <si>
    <t xml:space="preserve">AC capacity</t>
  </si>
  <si>
    <t xml:space="preserve">MW</t>
  </si>
  <si>
    <t xml:space="preserve">Operations period</t>
  </si>
  <si>
    <t xml:space="preserve">DC:AC ratio</t>
  </si>
  <si>
    <t xml:space="preserve">x</t>
  </si>
  <si>
    <t xml:space="preserve">PPA term</t>
  </si>
  <si>
    <t xml:space="preserve">Year-1 generation (gross)</t>
  </si>
  <si>
    <t xml:space="preserve">MWh</t>
  </si>
  <si>
    <t xml:space="preserve">Tax rate</t>
  </si>
  <si>
    <t xml:space="preserve">Plant availability</t>
  </si>
  <si>
    <t xml:space="preserve">%</t>
  </si>
  <si>
    <t xml:space="preserve">ITC rate</t>
  </si>
  <si>
    <t xml:space="preserve">Annual degradation</t>
  </si>
  <si>
    <t xml:space="preserve">Target after-tax IRR</t>
  </si>
  <si>
    <t xml:space="preserve">Initial PPA price</t>
  </si>
  <si>
    <t xml:space="preserve">$/MWh</t>
  </si>
  <si>
    <t xml:space="preserve">Construction debt LTV</t>
  </si>
  <si>
    <t xml:space="preserve">PPA escalator</t>
  </si>
  <si>
    <t xml:space="preserve">Construction debt rate</t>
  </si>
  <si>
    <t xml:space="preserve">Merchant price post-PPA</t>
  </si>
  <si>
    <t xml:space="preserve">Origination fee</t>
  </si>
  <si>
    <t xml:space="preserve">KEY OUTPUTS</t>
  </si>
  <si>
    <t xml:space="preserve">USES OF FUNDS BREAKDOWN</t>
  </si>
  <si>
    <t xml:space="preserve">Total investment (buyer Year 0 outflow)</t>
  </si>
  <si>
    <t xml:space="preserve">$</t>
  </si>
  <si>
    <t xml:space="preserve">Panels and BOS</t>
  </si>
  <si>
    <t xml:space="preserve">Maximum dev fee to Avantus</t>
  </si>
  <si>
    <t xml:space="preserve">HV interconnection</t>
  </si>
  <si>
    <t xml:space="preserve">Achieved after-tax IRR</t>
  </si>
  <si>
    <t xml:space="preserve">Project development costs</t>
  </si>
  <si>
    <t xml:space="preserve">NPV at 8% discount rate</t>
  </si>
  <si>
    <t xml:space="preserve">Transaction costs</t>
  </si>
  <si>
    <t xml:space="preserve">Project pre-tax IRR</t>
  </si>
  <si>
    <t xml:space="preserve">Construction financing costs</t>
  </si>
  <si>
    <t xml:space="preserve">Cash-on-cash multiple</t>
  </si>
  <si>
    <t xml:space="preserve">Development fee to Avantus</t>
  </si>
  <si>
    <t xml:space="preserve">Payback year (operations)</t>
  </si>
  <si>
    <t xml:space="preserve">year</t>
  </si>
  <si>
    <t xml:space="preserve">TOTAL USES</t>
  </si>
  <si>
    <t xml:space="preserve">Total ATCF (years 1-35, undiscounted)</t>
  </si>
  <si>
    <t xml:space="preserve">MODEL HEALTH</t>
  </si>
  <si>
    <t xml:space="preserve">Total errors on Check sheet</t>
  </si>
  <si>
    <t xml:space="preserve">(0 is good)</t>
  </si>
  <si>
    <t xml:space="preserve">Sources = Uses?</t>
  </si>
  <si>
    <t xml:space="preserve">IRR = target?</t>
  </si>
  <si>
    <t xml:space="preserve">Navigation</t>
  </si>
  <si>
    <t xml:space="preserve">Inputs: InpC | Construction: ConCost, ConFin, S&amp;U | Operations: Ops, OpEx | Tax: Acct, Tax | Returns: Equity, Metrics | Output: FS, Sensitivity, CorpForecast | Audit: Check</t>
  </si>
  <si>
    <t xml:space="preserve">Guide - FAST color and formatting conventions</t>
  </si>
  <si>
    <t xml:space="preserve">Color / Style</t>
  </si>
  <si>
    <t xml:space="preserve">Meaning</t>
  </si>
  <si>
    <t xml:space="preserve">Example</t>
  </si>
  <si>
    <t xml:space="preserve">Blue font on yellow background</t>
  </si>
  <si>
    <t xml:space="preserve">Hard-coded input on InpC</t>
  </si>
  <si>
    <t xml:space="preserve">Initial PPA price = $60/MWh</t>
  </si>
  <si>
    <t xml:space="preserve">Blue font (no fill)</t>
  </si>
  <si>
    <t xml:space="preserve">Hard-coded value on a calc sheet (rare - use sparingly)</t>
  </si>
  <si>
    <t xml:space="preserve">Period flag = 1</t>
  </si>
  <si>
    <t xml:space="preserve">Black font</t>
  </si>
  <si>
    <t xml:space="preserve">Formula or label</t>
  </si>
  <si>
    <t xml:space="preserve">B5 multiplied by C5</t>
  </si>
  <si>
    <t xml:space="preserve">Red font</t>
  </si>
  <si>
    <t xml:space="preserve">Cross-sheet link (cell pulls value from another sheet)</t>
  </si>
  <si>
    <t xml:space="preserve">Reference to InpC cell</t>
  </si>
  <si>
    <t xml:space="preserve">Yellow tab</t>
  </si>
  <si>
    <t xml:space="preserve">Input sheet (InpC, InpA, InpM)</t>
  </si>
  <si>
    <t xml:space="preserve">Green tab</t>
  </si>
  <si>
    <t xml:space="preserve">Output sheet (Dashboard, FS, Sensitivity)</t>
  </si>
  <si>
    <t xml:space="preserve">Red tab</t>
  </si>
  <si>
    <t xml:space="preserve">Check sheet (model integrity)</t>
  </si>
  <si>
    <t xml:space="preserve">Cyan tab</t>
  </si>
  <si>
    <t xml:space="preserve">Change log</t>
  </si>
  <si>
    <t xml:space="preserve">No tab color</t>
  </si>
  <si>
    <t xml:space="preserve">Calculation sheet</t>
  </si>
  <si>
    <t xml:space="preserve">Section header (grey fill)</t>
  </si>
  <si>
    <t xml:space="preserve">Visual section break within a sheet</t>
  </si>
  <si>
    <t xml:space="preserve">Light green fill</t>
  </si>
  <si>
    <t xml:space="preserve">Counter or control cell</t>
  </si>
  <si>
    <t xml:space="preserve">Light red fill</t>
  </si>
  <si>
    <t xml:space="preserve">Error or alert cell</t>
  </si>
  <si>
    <t xml:space="preserve">Calculation sheet construction</t>
  </si>
  <si>
    <t xml:space="preserve">Every calculation sheet uses the FAST 5-row header (rows 1-5: sheet name, period start, period end, period counter, financial year). Cross-sheet inputs are placed on a dedicated 'local input' row (red font) directly above the formula that uses them. Calculation rows reference only the local input row, never the input sheet directly.</t>
  </si>
  <si>
    <t xml:space="preserve">InpC - Constant inputs</t>
  </si>
  <si>
    <t xml:space="preserve">Base Case</t>
  </si>
  <si>
    <t xml:space="preserve">(Base Case / Downside / Upside)</t>
  </si>
  <si>
    <t xml:space="preserve">Assumption</t>
  </si>
  <si>
    <t xml:space="preserve">Constant</t>
  </si>
  <si>
    <t xml:space="preserve">Unit</t>
  </si>
  <si>
    <t xml:space="preserve">Source</t>
  </si>
  <si>
    <t xml:space="preserve">Downside</t>
  </si>
  <si>
    <t xml:space="preserve">Upside</t>
  </si>
  <si>
    <t xml:space="preserve">Varies</t>
  </si>
  <si>
    <t xml:space="preserve">PROJECT SIZING</t>
  </si>
  <si>
    <t xml:space="preserve">Project brief</t>
  </si>
  <si>
    <t xml:space="preserve">DC:AC overbuild ratio</t>
  </si>
  <si>
    <t xml:space="preserve">TIMELINE</t>
  </si>
  <si>
    <t xml:space="preserve">FNTP date</t>
  </si>
  <si>
    <t xml:space="preserve">date</t>
  </si>
  <si>
    <t xml:space="preserve">Construction period</t>
  </si>
  <si>
    <t xml:space="preserve">months</t>
  </si>
  <si>
    <t xml:space="preserve">years</t>
  </si>
  <si>
    <t xml:space="preserve">PPA</t>
  </si>
  <si>
    <t xml:space="preserve">Useful life</t>
  </si>
  <si>
    <t xml:space="preserve">GENERATION</t>
  </si>
  <si>
    <t xml:space="preserve">Year-1 gross generation</t>
  </si>
  <si>
    <t xml:space="preserve">Energy yield study</t>
  </si>
  <si>
    <t xml:space="preserve">Independent engineer</t>
  </si>
  <si>
    <t xml:space="preserve">Annual curtailment</t>
  </si>
  <si>
    <t xml:space="preserve">Module datasheet</t>
  </si>
  <si>
    <t xml:space="preserve">REVENUE</t>
  </si>
  <si>
    <t xml:space="preserve">Market study</t>
  </si>
  <si>
    <t xml:space="preserve">OPERATING EXPENSES</t>
  </si>
  <si>
    <t xml:space="preserve">O&amp;M cost per kWdc</t>
  </si>
  <si>
    <t xml:space="preserve">$/kWp</t>
  </si>
  <si>
    <t xml:space="preserve">O&amp;M contract</t>
  </si>
  <si>
    <t xml:space="preserve">O&amp;M escalator</t>
  </si>
  <si>
    <t xml:space="preserve">Land lease per acre</t>
  </si>
  <si>
    <t xml:space="preserve">$/acre</t>
  </si>
  <si>
    <t xml:space="preserve">Lease agreement</t>
  </si>
  <si>
    <t xml:space="preserve">Acres per MWdc</t>
  </si>
  <si>
    <t xml:space="preserve">acres/MWdc</t>
  </si>
  <si>
    <t xml:space="preserve">Site survey</t>
  </si>
  <si>
    <t xml:space="preserve">Land lease escalator</t>
  </si>
  <si>
    <t xml:space="preserve">Other operating expenses</t>
  </si>
  <si>
    <t xml:space="preserve">$/year</t>
  </si>
  <si>
    <t xml:space="preserve">Operating budget</t>
  </si>
  <si>
    <t xml:space="preserve">Other OpEx escalator</t>
  </si>
  <si>
    <t xml:space="preserve">PPA security notional</t>
  </si>
  <si>
    <t xml:space="preserve">Letter of credit fee</t>
  </si>
  <si>
    <t xml:space="preserve">Bank quote</t>
  </si>
  <si>
    <t xml:space="preserve">Inverter reserve total</t>
  </si>
  <si>
    <t xml:space="preserve">$/Wdc</t>
  </si>
  <si>
    <t xml:space="preserve">Project assumption</t>
  </si>
  <si>
    <t xml:space="preserve">Inverter reserve start year</t>
  </si>
  <si>
    <t xml:space="preserve">Inverter reserve duration</t>
  </si>
  <si>
    <t xml:space="preserve">CAPITAL COSTS</t>
  </si>
  <si>
    <t xml:space="preserve">EPC contract</t>
  </si>
  <si>
    <t xml:space="preserve">HV interconnection equipment</t>
  </si>
  <si>
    <t xml:space="preserve">Interconnection study</t>
  </si>
  <si>
    <t xml:space="preserve">Development budget</t>
  </si>
  <si>
    <t xml:space="preserve">Buyer assumption</t>
  </si>
  <si>
    <t xml:space="preserve">TAX AND INCENTIVES</t>
  </si>
  <si>
    <t xml:space="preserve">MACRS-eligible basis share</t>
  </si>
  <si>
    <t xml:space="preserve">Tax counsel</t>
  </si>
  <si>
    <t xml:space="preserve">Straight-line basis share</t>
  </si>
  <si>
    <t xml:space="preserve">Straight-line useful life</t>
  </si>
  <si>
    <t xml:space="preserve">IRS</t>
  </si>
  <si>
    <t xml:space="preserve">Basis reduction share of ITC</t>
  </si>
  <si>
    <t xml:space="preserve">Effective income tax rate</t>
  </si>
  <si>
    <t xml:space="preserve">EQUITY RETURNS</t>
  </si>
  <si>
    <t xml:space="preserve">Target after-tax equity IRR</t>
  </si>
  <si>
    <t xml:space="preserve">Buyer mandate</t>
  </si>
  <si>
    <t xml:space="preserve">CONSTRUCTION DEBT</t>
  </si>
  <si>
    <t xml:space="preserve">Term sheet</t>
  </si>
  <si>
    <t xml:space="preserve">Construction debt interest rate</t>
  </si>
  <si>
    <t xml:space="preserve">Commitment fee</t>
  </si>
  <si>
    <t xml:space="preserve">SENSITIVITY FLEX FACTORS</t>
  </si>
  <si>
    <t xml:space="preserve">PPA price sensitivity flex</t>
  </si>
  <si>
    <t xml:space="preserve">Sensitivity input</t>
  </si>
  <si>
    <t xml:space="preserve">CAPEX sensitivity flex</t>
  </si>
  <si>
    <t xml:space="preserve">Generation sensitivity flex</t>
  </si>
  <si>
    <t xml:space="preserve">MACRS SCHEDULE</t>
  </si>
  <si>
    <t xml:space="preserve">MACRS year 1 share</t>
  </si>
  <si>
    <t xml:space="preserve">IRS publication 946</t>
  </si>
  <si>
    <t xml:space="preserve">MACRS year 2 share</t>
  </si>
  <si>
    <t xml:space="preserve">MACRS year 3 share</t>
  </si>
  <si>
    <t xml:space="preserve">MACRS year 4 share</t>
  </si>
  <si>
    <t xml:space="preserve">MACRS year 5 share</t>
  </si>
  <si>
    <t xml:space="preserve">MACRS year 6 share</t>
  </si>
  <si>
    <t xml:space="preserve">InpA - Annual time-series inputs</t>
  </si>
  <si>
    <t xml:space="preserve">(no annual time-series inputs required - all derived from constants)</t>
  </si>
  <si>
    <t xml:space="preserve">InpM - Monthly time-series inputs</t>
  </si>
  <si>
    <t xml:space="preserve">(no monthly time-series inputs required - construction profile derived in ConCost)</t>
  </si>
  <si>
    <t xml:space="preserve">Solve - Iteration control and solved values</t>
  </si>
  <si>
    <t xml:space="preserve">Solve targets and outputs</t>
  </si>
  <si>
    <t xml:space="preserve">Item</t>
  </si>
  <si>
    <t xml:space="preserve">Value</t>
  </si>
  <si>
    <t xml:space="preserve">Note</t>
  </si>
  <si>
    <t xml:space="preserve">Total investment by equity buyer</t>
  </si>
  <si>
    <t xml:space="preserve">Solved as PV of after-tax CFs at target IRR (from Equity/Metrics)</t>
  </si>
  <si>
    <t xml:space="preserve">Development fee paid to Avantus</t>
  </si>
  <si>
    <t xml:space="preserve">Total investment less hard CAPEX, transaction cost, and financing costs</t>
  </si>
  <si>
    <t xml:space="preserve">Achieved after-tax equity IRR</t>
  </si>
  <si>
    <t xml:space="preserve">Read from Metrics sheet to verify solve converged</t>
  </si>
  <si>
    <t xml:space="preserve">Target after-tax equity IRR [from InpC]</t>
  </si>
  <si>
    <t xml:space="preserve">Buyer's investment criterion</t>
  </si>
  <si>
    <t xml:space="preserve">Solve verification</t>
  </si>
  <si>
    <t xml:space="preserve">IRR vs target (achieved - target)</t>
  </si>
  <si>
    <t xml:space="preserve">Should be ~0 when iteration converges</t>
  </si>
  <si>
    <t xml:space="preserve">Hard CAPEX total</t>
  </si>
  <si>
    <t xml:space="preserve">Panels + HV interconnection</t>
  </si>
  <si>
    <t xml:space="preserve">Project development costs (vendor)</t>
  </si>
  <si>
    <t xml:space="preserve">$0.07/Wdc paid to development vendors</t>
  </si>
  <si>
    <t xml:space="preserve">$1M paid by buyer</t>
  </si>
  <si>
    <t xml:space="preserve">Total financing costs</t>
  </si>
  <si>
    <t xml:space="preserve">IDC + commitment + origination</t>
  </si>
  <si>
    <t xml:space="preserve">Sum of pre-dev-fee uses</t>
  </si>
  <si>
    <t xml:space="preserve">Hard CAPEX + dev + txn + fin costs</t>
  </si>
  <si>
    <t xml:space="preserve">Solved dev fee (= B5 - B16)</t>
  </si>
  <si>
    <t xml:space="preserve">Maximum dev fee buyer can pay Avantus</t>
  </si>
  <si>
    <t xml:space="preserve">Time - Avantus 20MWac Solar PF v1.0</t>
  </si>
  <si>
    <t xml:space="preserve">Period start date</t>
  </si>
  <si>
    <t xml:space="preserve">Date</t>
  </si>
  <si>
    <t xml:space="preserve">Period end date</t>
  </si>
  <si>
    <t xml:space="preserve">Period counter</t>
  </si>
  <si>
    <t xml:space="preserve">#</t>
  </si>
  <si>
    <t xml:space="preserve">Financial year</t>
  </si>
  <si>
    <t xml:space="preserve">Total</t>
  </si>
  <si>
    <t xml:space="preserve">Period flags and counters</t>
  </si>
  <si>
    <t xml:space="preserve">PPA term [from InpC]</t>
  </si>
  <si>
    <t xml:space="preserve">Operations period [from InpC]</t>
  </si>
  <si>
    <t xml:space="preserve">Inverter reserve start year [from InpC]</t>
  </si>
  <si>
    <t xml:space="preserve">Inverter reserve duration [from InpC]</t>
  </si>
  <si>
    <t xml:space="preserve">Year of operations</t>
  </si>
  <si>
    <t xml:space="preserve">Operations flag</t>
  </si>
  <si>
    <t xml:space="preserve">flag</t>
  </si>
  <si>
    <t xml:space="preserve">PPA period flag</t>
  </si>
  <si>
    <t xml:space="preserve">Merchant period flag</t>
  </si>
  <si>
    <t xml:space="preserve">Inverter reserve flag</t>
  </si>
  <si>
    <t xml:space="preserve">TimeM - Avantus 20MWac Solar PF v1.0</t>
  </si>
  <si>
    <t xml:space="preserve">Construction monthly flags and counters</t>
  </si>
  <si>
    <t xml:space="preserve">Construction period [from InpC]</t>
  </si>
  <si>
    <t xml:space="preserve">Month of construction</t>
  </si>
  <si>
    <t xml:space="preserve">month</t>
  </si>
  <si>
    <t xml:space="preserve">Construction flag</t>
  </si>
  <si>
    <t xml:space="preserve">First-month flag</t>
  </si>
  <si>
    <t xml:space="preserve">Last-month flag</t>
  </si>
  <si>
    <t xml:space="preserve">Esc - Avantus 20MWac Solar PF v1.0</t>
  </si>
  <si>
    <t xml:space="preserve">Escalation rates - local input rows</t>
  </si>
  <si>
    <t xml:space="preserve">PPA escalator [from InpC]</t>
  </si>
  <si>
    <t xml:space="preserve">O&amp;M escalator [from InpC]</t>
  </si>
  <si>
    <t xml:space="preserve">Land lease escalator [from InpC]</t>
  </si>
  <si>
    <t xml:space="preserve">Other OpEx escalator [from InpC]</t>
  </si>
  <si>
    <t xml:space="preserve">Year-of-operations counter [from Time]</t>
  </si>
  <si>
    <t xml:space="preserve">Escalation indices (year 1 = 1.000)</t>
  </si>
  <si>
    <t xml:space="preserve">PPA price index</t>
  </si>
  <si>
    <t xml:space="preserve">O&amp;M index</t>
  </si>
  <si>
    <t xml:space="preserve">Land lease index</t>
  </si>
  <si>
    <t xml:space="preserve">Other OpEx index</t>
  </si>
  <si>
    <t xml:space="preserve">ConCost - Avantus 20MWac Solar PF v1.0</t>
  </si>
  <si>
    <t xml:space="preserve">Local inputs from InpC</t>
  </si>
  <si>
    <t xml:space="preserve">AC capacity [from InpC]</t>
  </si>
  <si>
    <t xml:space="preserve">DC:AC overbuild ratio [from InpC]</t>
  </si>
  <si>
    <t xml:space="preserve">Panels and BOS [from InpC]</t>
  </si>
  <si>
    <t xml:space="preserve">HV interconnection [from InpC]</t>
  </si>
  <si>
    <t xml:space="preserve">Project development costs [from InpC]</t>
  </si>
  <si>
    <t xml:space="preserve">Transaction costs [from InpC]</t>
  </si>
  <si>
    <t xml:space="preserve">CAPEX sensitivity flex [from InpC]</t>
  </si>
  <si>
    <t xml:space="preserve">Construction flag [from TimeM]</t>
  </si>
  <si>
    <t xml:space="preserve">First-month flag [from TimeM]</t>
  </si>
  <si>
    <t xml:space="preserve">Project sizing</t>
  </si>
  <si>
    <t xml:space="preserve">DC capacity</t>
  </si>
  <si>
    <t xml:space="preserve">MWdc</t>
  </si>
  <si>
    <t xml:space="preserve">Wdc</t>
  </si>
  <si>
    <t xml:space="preserve">CAPEX components - totals</t>
  </si>
  <si>
    <t xml:space="preserve">Panels and BOS total</t>
  </si>
  <si>
    <t xml:space="preserve">HV interconnection total</t>
  </si>
  <si>
    <t xml:space="preserve">Project development costs total</t>
  </si>
  <si>
    <t xml:space="preserve">Transaction costs total</t>
  </si>
  <si>
    <t xml:space="preserve">Total hard CAPEX (panels + HV)</t>
  </si>
  <si>
    <t xml:space="preserve">Total uses (ex dev fee, ex financing costs)</t>
  </si>
  <si>
    <t xml:space="preserve">Monthly spend (uses of funds)</t>
  </si>
  <si>
    <t xml:space="preserve">Panels and BOS monthly</t>
  </si>
  <si>
    <t xml:space="preserve">HV interconnection monthly</t>
  </si>
  <si>
    <t xml:space="preserve">Project development costs monthly (paid at close)</t>
  </si>
  <si>
    <t xml:space="preserve">Transaction costs monthly (paid at close)</t>
  </si>
  <si>
    <t xml:space="preserve">Total monthly uses (ex dev fee, ex fin)</t>
  </si>
  <si>
    <t xml:space="preserve">Cumulative</t>
  </si>
  <si>
    <t xml:space="preserve">Cumulative uses (ex dev fee, ex fin)</t>
  </si>
  <si>
    <t xml:space="preserve">ConFin - Avantus 20MWac Solar PF v1.0</t>
  </si>
  <si>
    <t xml:space="preserve">Construction debt LTV [from InpC]</t>
  </si>
  <si>
    <t xml:space="preserve">Construction debt interest rate [from InpC]</t>
  </si>
  <si>
    <t xml:space="preserve">% pa</t>
  </si>
  <si>
    <t xml:space="preserve">Commitment fee [from InpC]</t>
  </si>
  <si>
    <t xml:space="preserve">Origination fee [from InpC]</t>
  </si>
  <si>
    <t xml:space="preserve">Total uses ex financing [from ConCost]</t>
  </si>
  <si>
    <t xml:space="preserve">Monthly uses (ex dev fee, ex fin) [from ConCost]</t>
  </si>
  <si>
    <t xml:space="preserve">Last-month flag [from TimeM]</t>
  </si>
  <si>
    <t xml:space="preserve">Development fee to Avantus [from Solve]</t>
  </si>
  <si>
    <t xml:space="preserve">Development fee monthly (paid at close)</t>
  </si>
  <si>
    <t xml:space="preserve">Total monthly funding need (incl dev fee)</t>
  </si>
  <si>
    <t xml:space="preserve">Total monthly need (uses + dev fee)</t>
  </si>
  <si>
    <t xml:space="preserve">Total uses including dev fee</t>
  </si>
  <si>
    <t xml:space="preserve">Equity and debt drawdowns (equity invested first)</t>
  </si>
  <si>
    <t xml:space="preserve">Equity quota (5% of total uses)</t>
  </si>
  <si>
    <t xml:space="preserve">Construction debt facility (95% of total uses)</t>
  </si>
  <si>
    <t xml:space="preserve">Cumulative funding need</t>
  </si>
  <si>
    <t xml:space="preserve">Cumulative equity drawn</t>
  </si>
  <si>
    <t xml:space="preserve">Equity contribution this month</t>
  </si>
  <si>
    <t xml:space="preserve">Debt drawdown this month</t>
  </si>
  <si>
    <t xml:space="preserve">Cumulative debt drawdown</t>
  </si>
  <si>
    <t xml:space="preserve">Undrawn facility (avg)</t>
  </si>
  <si>
    <t xml:space="preserve">Average outstanding debt this month</t>
  </si>
  <si>
    <t xml:space="preserve">Cost of debt (monthly)</t>
  </si>
  <si>
    <t xml:space="preserve">Interest during construction (IDC)</t>
  </si>
  <si>
    <t xml:space="preserve">Commitment fee on undrawn facility</t>
  </si>
  <si>
    <t xml:space="preserve">Origination fee (paid at close)</t>
  </si>
  <si>
    <t xml:space="preserve">Total construction financing cost</t>
  </si>
  <si>
    <t xml:space="preserve">Equity cash flows (buyer perspective)</t>
  </si>
  <si>
    <t xml:space="preserve">Equity contributed during construction</t>
  </si>
  <si>
    <t xml:space="preserve">Equity take-out of construction debt at COD</t>
  </si>
  <si>
    <t xml:space="preserve">Total monthly equity outflow</t>
  </si>
  <si>
    <t xml:space="preserve">S&amp;U - Sources and Uses of Funds</t>
  </si>
  <si>
    <t xml:space="preserve">Amount</t>
  </si>
  <si>
    <t xml:space="preserve">% of total</t>
  </si>
  <si>
    <t xml:space="preserve">USES OF FUNDS</t>
  </si>
  <si>
    <t xml:space="preserve">Panels and Balance of System</t>
  </si>
  <si>
    <t xml:space="preserve">Construction debt interest (IDC)</t>
  </si>
  <si>
    <t xml:space="preserve">Total uses</t>
  </si>
  <si>
    <t xml:space="preserve">SOURCES OF FUNDS</t>
  </si>
  <si>
    <t xml:space="preserve">Equity (during construction + take-out)</t>
  </si>
  <si>
    <t xml:space="preserve">Construction debt (drawn, repaid at COD)</t>
  </si>
  <si>
    <t xml:space="preserve">Total sources</t>
  </si>
  <si>
    <t xml:space="preserve">CHECK: Sources - Uses</t>
  </si>
  <si>
    <t xml:space="preserve">Ops - Avantus 20MWac Solar PF v1.0</t>
  </si>
  <si>
    <t xml:space="preserve">DC:AC ratio [from InpC]</t>
  </si>
  <si>
    <t xml:space="preserve">Year-1 gross generation [from InpC]</t>
  </si>
  <si>
    <t xml:space="preserve">Plant availability [from InpC]</t>
  </si>
  <si>
    <t xml:space="preserve">Annual curtailment [from InpC]</t>
  </si>
  <si>
    <t xml:space="preserve">Annual degradation [from InpC]</t>
  </si>
  <si>
    <t xml:space="preserve">Initial PPA price [from InpC]</t>
  </si>
  <si>
    <t xml:space="preserve">Merchant price post-PPA [from InpC]</t>
  </si>
  <si>
    <t xml:space="preserve">PPA price sensitivity flex [from InpC]</t>
  </si>
  <si>
    <t xml:space="preserve">Generation sensitivity flex [from InpC]</t>
  </si>
  <si>
    <t xml:space="preserve">Year of operations [from Time]</t>
  </si>
  <si>
    <t xml:space="preserve">Operations flag [from Time]</t>
  </si>
  <si>
    <t xml:space="preserve">PPA flag [from Time]</t>
  </si>
  <si>
    <t xml:space="preserve">Merchant flag [from Time]</t>
  </si>
  <si>
    <t xml:space="preserve">PPA price index [from Esc]</t>
  </si>
  <si>
    <t xml:space="preserve">Generation</t>
  </si>
  <si>
    <t xml:space="preserve">Gross generation (year 1 with flex)</t>
  </si>
  <si>
    <t xml:space="preserve">After availability adjustment</t>
  </si>
  <si>
    <t xml:space="preserve">After curtailment deduction</t>
  </si>
  <si>
    <t xml:space="preserve">Degradation index</t>
  </si>
  <si>
    <t xml:space="preserve">Net energy delivered</t>
  </si>
  <si>
    <t xml:space="preserve">Pricing</t>
  </si>
  <si>
    <t xml:space="preserve">PPA price (escalated, with flex)</t>
  </si>
  <si>
    <t xml:space="preserve">Merchant price (with flex)</t>
  </si>
  <si>
    <t xml:space="preserve">Blended electricity price</t>
  </si>
  <si>
    <t xml:space="preserve">Revenue</t>
  </si>
  <si>
    <t xml:space="preserve">PPA revenue</t>
  </si>
  <si>
    <t xml:space="preserve">Merchant revenue</t>
  </si>
  <si>
    <t xml:space="preserve">Total revenue</t>
  </si>
  <si>
    <t xml:space="preserve">OpEx - Avantus 20MWac Solar PF v1.0</t>
  </si>
  <si>
    <t xml:space="preserve">O&amp;M cost per kWdc [from InpC]</t>
  </si>
  <si>
    <t xml:space="preserve">Land lease per acre [from InpC]</t>
  </si>
  <si>
    <t xml:space="preserve">Acres per MWdc [from InpC]</t>
  </si>
  <si>
    <t xml:space="preserve">Other operating expenses [from InpC]</t>
  </si>
  <si>
    <t xml:space="preserve">PPA security notional [from InpC]</t>
  </si>
  <si>
    <t xml:space="preserve">Letter of credit fee [from InpC]</t>
  </si>
  <si>
    <t xml:space="preserve">Inverter reserve total [from InpC]</t>
  </si>
  <si>
    <t xml:space="preserve">Inverter reserve flag [from Time]</t>
  </si>
  <si>
    <t xml:space="preserve">O&amp;M index [from Esc]</t>
  </si>
  <si>
    <t xml:space="preserve">Land lease index [from Esc]</t>
  </si>
  <si>
    <t xml:space="preserve">Other OpEx index [from Esc]</t>
  </si>
  <si>
    <t xml:space="preserve">Sizing constants</t>
  </si>
  <si>
    <t xml:space="preserve">kWdc</t>
  </si>
  <si>
    <t xml:space="preserve">Total acres</t>
  </si>
  <si>
    <t xml:space="preserve">acres</t>
  </si>
  <si>
    <t xml:space="preserve">Inverter reserve annual amount (during reserve years)</t>
  </si>
  <si>
    <t xml:space="preserve">O&amp;M year-1 amount</t>
  </si>
  <si>
    <t xml:space="preserve">Land lease year-1 amount</t>
  </si>
  <si>
    <t xml:space="preserve">Letter of credit annual cost (active during PPA only)</t>
  </si>
  <si>
    <t xml:space="preserve">Annual operating expenses</t>
  </si>
  <si>
    <t xml:space="preserve">O&amp;M cost</t>
  </si>
  <si>
    <t xml:space="preserve">Land lease</t>
  </si>
  <si>
    <t xml:space="preserve">Letter of credit fee (PPA period only)</t>
  </si>
  <si>
    <t xml:space="preserve">Inverter reserve / replacement (years 10-19)</t>
  </si>
  <si>
    <t xml:space="preserve">Total operating expenses</t>
  </si>
  <si>
    <t xml:space="preserve">Acct - Avantus 20MWac Solar PF v1.0</t>
  </si>
  <si>
    <t xml:space="preserve">Local inputs from InpC and ConCost</t>
  </si>
  <si>
    <t xml:space="preserve">Hard CAPEX (panels + HV) [from ConCost]</t>
  </si>
  <si>
    <t xml:space="preserve">Project development costs [from ConCost]</t>
  </si>
  <si>
    <t xml:space="preserve">Total project basis (panels + HV + dev costs)</t>
  </si>
  <si>
    <t xml:space="preserve">MACRS / ITC eligible share [from InpC]</t>
  </si>
  <si>
    <t xml:space="preserve">Straight-line share [from InpC]</t>
  </si>
  <si>
    <t xml:space="preserve">Straight-line useful life [from InpC]</t>
  </si>
  <si>
    <t xml:space="preserve">ITC rate [from InpC]</t>
  </si>
  <si>
    <t xml:space="preserve">Basis reduction share of ITC [from InpC]</t>
  </si>
  <si>
    <t xml:space="preserve">MACRS year 1 share [from InpC]</t>
  </si>
  <si>
    <t xml:space="preserve">MACRS year 2 share [from InpC]</t>
  </si>
  <si>
    <t xml:space="preserve">MACRS year 3 share [from InpC]</t>
  </si>
  <si>
    <t xml:space="preserve">MACRS year 4 share [from InpC]</t>
  </si>
  <si>
    <t xml:space="preserve">MACRS year 5 share [from InpC]</t>
  </si>
  <si>
    <t xml:space="preserve">MACRS year 6 share [from InpC]</t>
  </si>
  <si>
    <t xml:space="preserve">Basis allocation</t>
  </si>
  <si>
    <t xml:space="preserve">MACRS-eligible gross basis (95% of project basis)</t>
  </si>
  <si>
    <t xml:space="preserve">ITC amount (30% x MACRS-eligible basis)</t>
  </si>
  <si>
    <t xml:space="preserve">Depreciable basis reduction (50% of ITC)</t>
  </si>
  <si>
    <t xml:space="preserve">MACRS depreciable basis (after ITC reduction)</t>
  </si>
  <si>
    <t xml:space="preserve">Straight-line basis (5% of project basis)</t>
  </si>
  <si>
    <t xml:space="preserve">MACRS depreciation (5-year MACRS, years 1-6)</t>
  </si>
  <si>
    <t xml:space="preserve">MACRS depreciation</t>
  </si>
  <si>
    <t xml:space="preserve">Straight-line depreciation (15-year SL)</t>
  </si>
  <si>
    <t xml:space="preserve">Straight-line depreciation</t>
  </si>
  <si>
    <t xml:space="preserve">Total depreciation</t>
  </si>
  <si>
    <t xml:space="preserve">Total tax depreciation</t>
  </si>
  <si>
    <t xml:space="preserve">Cumulative depreciation</t>
  </si>
  <si>
    <t xml:space="preserve">Net book value (depreciable basis - cumulative dep)</t>
  </si>
  <si>
    <t xml:space="preserve">Tax - Avantus 20MWac Solar PF v1.0</t>
  </si>
  <si>
    <t xml:space="preserve">Local inputs</t>
  </si>
  <si>
    <t xml:space="preserve">Effective income tax rate [from InpC]</t>
  </si>
  <si>
    <t xml:space="preserve">ITC amount [from Acct]</t>
  </si>
  <si>
    <t xml:space="preserve">Revenue [from Ops]</t>
  </si>
  <si>
    <t xml:space="preserve">Operating expenses [from OpEx]</t>
  </si>
  <si>
    <t xml:space="preserve">Tax depreciation [from Acct]</t>
  </si>
  <si>
    <t xml:space="preserve">Taxable income calculation</t>
  </si>
  <si>
    <t xml:space="preserve">EBITDA (revenue - opex)</t>
  </si>
  <si>
    <t xml:space="preserve">EBIT (EBITDA - depreciation)</t>
  </si>
  <si>
    <t xml:space="preserve">Pre-NOL taxable income</t>
  </si>
  <si>
    <t xml:space="preserve">Tax expense (negative if benefit)</t>
  </si>
  <si>
    <t xml:space="preserve">ITC tax credit (year 1 only)</t>
  </si>
  <si>
    <t xml:space="preserve">Net income (after tax + ITC)</t>
  </si>
  <si>
    <t xml:space="preserve">After-tax cash flow (project level)</t>
  </si>
  <si>
    <t xml:space="preserve">After-tax cash flow (NI + dep)</t>
  </si>
  <si>
    <t xml:space="preserve">Cumulative after-tax cash flow</t>
  </si>
  <si>
    <t xml:space="preserve">Equity - Avantus 20MWac Solar PF v1.0</t>
  </si>
  <si>
    <t xml:space="preserve">Total construction equity outflow [from ConFin]</t>
  </si>
  <si>
    <t xml:space="preserve">Target after-tax IRR [from InpC]</t>
  </si>
  <si>
    <t xml:space="preserve">Project after-tax cash flow [from Tax]</t>
  </si>
  <si>
    <t xml:space="preserve">Project EBITDA [from Tax]</t>
  </si>
  <si>
    <t xml:space="preserve">Total construction CAPEX [from ConCost]</t>
  </si>
  <si>
    <t xml:space="preserve">Equity cash flow series for IRR (Year 0 in Total column, Years 1-35 in period columns)</t>
  </si>
  <si>
    <t xml:space="preserve">Equity cash flow (Year 0 = construction equity outflow, Years 1-35 = ATCF)</t>
  </si>
  <si>
    <t xml:space="preserve">Equity after-tax IRR</t>
  </si>
  <si>
    <t xml:space="preserve">NPV at target IRR</t>
  </si>
  <si>
    <t xml:space="preserve">Project pre-tax IRR (EBITDA-based)</t>
  </si>
  <si>
    <t xml:space="preserve">Project pre-tax CF (Year 0 = -CAPEX, Years 1-35 = EBITDA)</t>
  </si>
  <si>
    <t xml:space="preserve">Returns metrics</t>
  </si>
  <si>
    <t xml:space="preserve">Sum of after-tax cash flows (years 1-35)</t>
  </si>
  <si>
    <t xml:space="preserve">Cumulative after-tax CF</t>
  </si>
  <si>
    <t xml:space="preserve">Payback year (year cumulative CF turns positive)</t>
  </si>
  <si>
    <t xml:space="preserve">Metrics - Returns and project metrics summary</t>
  </si>
  <si>
    <t xml:space="preserve">Metric</t>
  </si>
  <si>
    <t xml:space="preserve">Buyer IRR including ITC, depreciation, tax</t>
  </si>
  <si>
    <t xml:space="preserve">Should be ~0 when solved correctly</t>
  </si>
  <si>
    <t xml:space="preserve">Based on EBITDA, no tax / no ITC</t>
  </si>
  <si>
    <t xml:space="preserve">Sum of ATCFs / Year 0 investment</t>
  </si>
  <si>
    <t xml:space="preserve">Payback year</t>
  </si>
  <si>
    <t xml:space="preserve">Year cumulative ATCF turns positive</t>
  </si>
  <si>
    <t xml:space="preserve">Total construction equity</t>
  </si>
  <si>
    <t xml:space="preserve">Year 0 equity outflow (investor)</t>
  </si>
  <si>
    <t xml:space="preserve">Total ATCF (years 1-35)</t>
  </si>
  <si>
    <t xml:space="preserve">Sum of operating after-tax cash flows</t>
  </si>
  <si>
    <t xml:space="preserve">FS - Avantus 20MWac Solar PF v1.0</t>
  </si>
  <si>
    <t xml:space="preserve">INCOME STATEMENT</t>
  </si>
  <si>
    <t xml:space="preserve">EBITDA</t>
  </si>
  <si>
    <t xml:space="preserve">Depreciation [from Acct]</t>
  </si>
  <si>
    <t xml:space="preserve">EBIT</t>
  </si>
  <si>
    <t xml:space="preserve">Tax expense [from Tax]</t>
  </si>
  <si>
    <t xml:space="preserve">ITC tax credit [from Tax]</t>
  </si>
  <si>
    <t xml:space="preserve">Net income</t>
  </si>
  <si>
    <t xml:space="preserve">CASH FLOW STATEMENT</t>
  </si>
  <si>
    <t xml:space="preserve">Cash from operations (NI + dep)</t>
  </si>
  <si>
    <t xml:space="preserve">Cash from investing</t>
  </si>
  <si>
    <t xml:space="preserve">Cash from financing</t>
  </si>
  <si>
    <t xml:space="preserve">Free cash flow (= ATCF distributable to equity)</t>
  </si>
  <si>
    <t xml:space="preserve">BALANCE SHEET (year-end, simplified)</t>
  </si>
  <si>
    <t xml:space="preserve">PP&amp;E net book value [from Acct]</t>
  </si>
  <si>
    <t xml:space="preserve">Cash (zero if all FCF distributed)</t>
  </si>
  <si>
    <t xml:space="preserve">Total assets</t>
  </si>
  <si>
    <t xml:space="preserve">Paid-in capital (book basis = depreciable basis after ITC reduction)</t>
  </si>
  <si>
    <t xml:space="preserve">Cumulative net income</t>
  </si>
  <si>
    <t xml:space="preserve">Cumulative distributions</t>
  </si>
  <si>
    <t xml:space="preserve">Retained earnings (cumulative NI - cumulative distributions)</t>
  </si>
  <si>
    <t xml:space="preserve">Total equity</t>
  </si>
  <si>
    <t xml:space="preserve">Balance sheet check</t>
  </si>
  <si>
    <t xml:space="preserve">Assets - Equity (should be 0)</t>
  </si>
  <si>
    <t xml:space="preserve">Sensitivity - Impact of key drivers on dev fee and IRR</t>
  </si>
  <si>
    <t xml:space="preserve">How to use: change the relevant flex input on InpC, then read the dev fee from Solve!B6.</t>
  </si>
  <si>
    <t xml:space="preserve">The tables below show the model output at multiple flex levels (snapshot - re-run after changing InpC for live values).</t>
  </si>
  <si>
    <t xml:space="preserve">Sensitivity 1 - PPA price flex (InpC PPA price sensitivity)</t>
  </si>
  <si>
    <t xml:space="preserve">-20%</t>
  </si>
  <si>
    <t xml:space="preserve">-10%</t>
  </si>
  <si>
    <t xml:space="preserve">-5%</t>
  </si>
  <si>
    <t xml:space="preserve">Base</t>
  </si>
  <si>
    <t xml:space="preserve">+5%</t>
  </si>
  <si>
    <t xml:space="preserve">+10%</t>
  </si>
  <si>
    <t xml:space="preserve">+20%</t>
  </si>
  <si>
    <t xml:space="preserve">PPA price flex (% change)</t>
  </si>
  <si>
    <t xml:space="preserve">Dev fee at flex (snapshot, re-run model)</t>
  </si>
  <si>
    <t xml:space="preserve">Note: input flex cell is InpC!B55</t>
  </si>
  <si>
    <t xml:space="preserve">Sensitivity 2 - CAPEX flex (InpC CAPEX sensitivity)</t>
  </si>
  <si>
    <t xml:space="preserve">CAPEX flex (% change)</t>
  </si>
  <si>
    <t xml:space="preserve">Note: input flex cell is InpC!B56</t>
  </si>
  <si>
    <t xml:space="preserve">Sensitivity 3 - Generation / energy yield flex</t>
  </si>
  <si>
    <t xml:space="preserve">Generation flex (% change)</t>
  </si>
  <si>
    <t xml:space="preserve">Note: input flex cell is InpC!B57</t>
  </si>
  <si>
    <t xml:space="preserve">Summary - run these manually by changing InpC flex inputs</t>
  </si>
  <si>
    <t xml:space="preserve">Three flex inputs are exposed on InpC (rows 55-57): PPA price, CAPEX, generation.</t>
  </si>
  <si>
    <t xml:space="preserve">Each is set to 0% in the Base Case. Type a value (e.g. 0.10 for +10%) and the model recalculates.</t>
  </si>
  <si>
    <t xml:space="preserve">Dev fee responds to PPA price the most (revenue is the largest driver of NPV).</t>
  </si>
  <si>
    <t xml:space="preserve">Dev fee responds to CAPEX inversely (higher CAPEX = less left over for dev fee).</t>
  </si>
  <si>
    <t xml:space="preserve">Dev fee responds positively to generation uplift (more MWh = more revenue = higher NPV).</t>
  </si>
  <si>
    <t xml:space="preserve">Corporate Cash Forecast - Outputs needed for 10-asset rollup (Q6)</t>
  </si>
  <si>
    <t xml:space="preserve">Output category</t>
  </si>
  <si>
    <t xml:space="preserve">Output / value</t>
  </si>
  <si>
    <t xml:space="preserve">Why it matters for corporate cash forecast</t>
  </si>
  <si>
    <t xml:space="preserve">Development fee at FNTP (per asset)</t>
  </si>
  <si>
    <t xml:space="preserve">Cash inflow to Avantus at FNTP. Largest single inflow per asset. Drives quarterly cash needs and ability to fund next assets.</t>
  </si>
  <si>
    <t xml:space="preserve">FNTP date (per asset)</t>
  </si>
  <si>
    <t xml:space="preserve">Asset-specific</t>
  </si>
  <si>
    <t xml:space="preserve">Timing of dev fee receipt. Stagger across portfolio drives liquidity profile.</t>
  </si>
  <si>
    <t xml:space="preserve">Pre-FNTP development capital (per asset)</t>
  </si>
  <si>
    <t xml:space="preserve">Asset-specific (sunk costs)</t>
  </si>
  <si>
    <t xml:space="preserve">Cash outflow before FNTP - early-stage development costs that Avantus must fund before recouping at sale.</t>
  </si>
  <si>
    <t xml:space="preserve">Probability-adjusted dev fee</t>
  </si>
  <si>
    <t xml:space="preserve">Dev fee x P(reach FNTP)</t>
  </si>
  <si>
    <t xml:space="preserve">Not all 10 assets achieve FNTP. Apply probability-weighting (50-90% typical) for realistic forecast.</t>
  </si>
  <si>
    <t xml:space="preserve">Operating reserve account funding</t>
  </si>
  <si>
    <t xml:space="preserve">If retained interest is held</t>
  </si>
  <si>
    <t xml:space="preserve">If Avantus retains residual interest post-sale, model future O&amp;M reserve funding obligations.</t>
  </si>
  <si>
    <t xml:space="preserve">Working capital build during construction</t>
  </si>
  <si>
    <t xml:space="preserve">Per asset, monthly profile</t>
  </si>
  <si>
    <t xml:space="preserve">Even if buyer funds CAPEX, Avantus may bridge near-FNTP. Match against ConCost monthly schedule.</t>
  </si>
  <si>
    <t xml:space="preserve">Tax payable on dev fee gain</t>
  </si>
  <si>
    <t xml:space="preserve">Dev fee x Avantus tax rate</t>
  </si>
  <si>
    <t xml:space="preserve">Avantus owes income tax on the dev fee gain. Net cash receipt = dev fee x (1 - tax rate).</t>
  </si>
  <si>
    <t xml:space="preserve">Corporate overhead allocation</t>
  </si>
  <si>
    <t xml:space="preserve">Indirect cost per asset</t>
  </si>
  <si>
    <t xml:space="preserve">Allocate Avantus corporate overhead, business development, and G&amp;A across the 10-asset pipeline.</t>
  </si>
  <si>
    <t xml:space="preserve">Pipeline timing schedule</t>
  </si>
  <si>
    <t xml:space="preserve">Asset-by-asset Gantt</t>
  </si>
  <si>
    <t xml:space="preserve">Construct a portfolio-level cash flow waterfall by stacking each asset's monthly cash profile.</t>
  </si>
  <si>
    <t xml:space="preserve">Sensitivity to portfolio risk factors</t>
  </si>
  <si>
    <t xml:space="preserve">PPA price, ITC policy, supply chain</t>
  </si>
  <si>
    <t xml:space="preserve">A single ITC policy change affects all 10 assets. Capital cost inflation likewise. Run portfolio-level sensitivities.</t>
  </si>
  <si>
    <t xml:space="preserve">Project IRR / DSCR (per asset)</t>
  </si>
  <si>
    <t xml:space="preserve">Buyer scrutiny may reduce dev fee if project IRR/DSCR are weak. Track per asset to flag at-risk deals.</t>
  </si>
  <si>
    <t xml:space="preserve">Permanent debt timing (if applicable)</t>
  </si>
  <si>
    <t xml:space="preserve">Refinancing post-COD</t>
  </si>
  <si>
    <t xml:space="preserve">If Avantus retains an interest, model take-out debt refinancing one year after COD.</t>
  </si>
  <si>
    <t xml:space="preserve">Corporate cash forecast assembly approach</t>
  </si>
  <si>
    <t xml:space="preserve">1. Build a corporate model with 10 columns (one per asset) and rows for monthly cash flows.</t>
  </si>
  <si>
    <t xml:space="preserve">2. For each asset: import dev fee at FNTP date (this is the principal inflow to Avantus).</t>
  </si>
  <si>
    <t xml:space="preserve">3. Subtract pre-FNTP development costs (asset-specific) and ongoing G&amp;A.</t>
  </si>
  <si>
    <t xml:space="preserve">4. Apply probability-of-success to each dev fee inflow (typically 50-90%).</t>
  </si>
  <si>
    <t xml:space="preserve">5. Sum across all 10 assets to get monthly portfolio cash profile.</t>
  </si>
  <si>
    <t xml:space="preserve">6. Layer in tax (assume 21% federal, plus state) on net dev fee proceeds.</t>
  </si>
  <si>
    <t xml:space="preserve">7. Compare cumulative cash position vs. minimum cash covenant; identify funding gaps.</t>
  </si>
  <si>
    <t xml:space="preserve">8. Run sensitivity on 3 key risks: ITC policy reversal, CAPEX inflation, PPA price softening.</t>
  </si>
  <si>
    <t xml:space="preserve">Check - Model integrity checks</t>
  </si>
  <si>
    <t xml:space="preserve">Total errors</t>
  </si>
  <si>
    <t xml:space="preserve">(zero is good)</t>
  </si>
  <si>
    <t xml:space="preserve">Check item</t>
  </si>
  <si>
    <t xml:space="preserve">Tolerance</t>
  </si>
  <si>
    <t xml:space="preserve">Pass?</t>
  </si>
  <si>
    <t xml:space="preserve">Sources = Uses (S&amp;U)</t>
  </si>
  <si>
    <t xml:space="preserve">Balance sheet balances (year 1)</t>
  </si>
  <si>
    <t xml:space="preserve">Balance sheet balances (year 35)</t>
  </si>
  <si>
    <t xml:space="preserve">MACRS shares sum to 1.0</t>
  </si>
  <si>
    <t xml:space="preserve">Achieved IRR vs target (Solve)</t>
  </si>
  <si>
    <t xml:space="preserve">ATCF total &gt; 0</t>
  </si>
  <si>
    <t xml:space="preserve">Dev fee positive</t>
  </si>
  <si>
    <t xml:space="preserve">Total uses &gt; 0</t>
  </si>
  <si>
    <t xml:space="preserve">Version</t>
  </si>
  <si>
    <t xml:space="preserve">Author</t>
  </si>
  <si>
    <t xml:space="preserve">Description</t>
  </si>
  <si>
    <t xml:space="preserve">v1.0</t>
  </si>
  <si>
    <t xml:space="preserve">Model</t>
  </si>
  <si>
    <t xml:space="preserve">Initial build - 20MWac Avantus solar project finance model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</si>
</sst>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#,##0;\(#,##0\);\-"/>
    <numFmt numFmtId="166" formatCode="#,##0.00;\(#,##0.00\);\-"/>
    <numFmt numFmtId="167" formatCode="0.00%;\(0.00%\);\-"/>
    <numFmt numFmtId="168" formatCode="\$#,##0.00;&quot;($&quot;#,##0.00\);\-"/>
    <numFmt numFmtId="169" formatCode="\$#,##0;&quot;($&quot;#,##0\);\-"/>
    <numFmt numFmtId="170" formatCode="0.00\x"/>
    <numFmt numFmtId="171" formatCode="d\-mmm\-yyyy"/>
    <numFmt numFmtId="172" formatCode="0"/>
    <numFmt numFmtId="173" formatCode="0;\(0\);\-"/>
  </numFmts>
  <fonts count="2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color rgb="FFFF0000"/>
      <name val="Arial"/>
      <family val="0"/>
      <charset val="1"/>
    </font>
    <font>
      <b val="true"/>
      <sz val="12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sz val="10"/>
      <color rgb="FFFF0000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2"/>
      <name val="Arial"/>
      <family val="0"/>
      <charset val="1"/>
    </font>
    <font>
      <sz val="10"/>
      <name val="Arial"/>
      <family val="2"/>
    </font>
    <font>
      <b val="true"/>
      <sz val="11"/>
      <color rgb="FF0000FF"/>
      <name val="Arial"/>
      <family val="0"/>
      <charset val="1"/>
    </font>
    <font>
      <b val="true"/>
      <sz val="11"/>
      <color rgb="FF1F4E79"/>
      <name val="Arial"/>
      <family val="0"/>
      <charset val="1"/>
    </font>
    <font>
      <sz val="10"/>
      <color rgb="FF0000FF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4"/>
      <color rgb="FF000000"/>
      <name val="Arial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E9F5DB"/>
        <bgColor rgb="FFF8FFF0"/>
      </patternFill>
    </fill>
    <fill>
      <patternFill patternType="solid">
        <fgColor rgb="FFD8DEE9"/>
        <bgColor rgb="FFD9D9D9"/>
      </patternFill>
    </fill>
    <fill>
      <patternFill patternType="solid">
        <fgColor rgb="FFF8FFF0"/>
        <bgColor rgb="FFFFFFFF"/>
      </patternFill>
    </fill>
    <fill>
      <patternFill patternType="solid">
        <fgColor rgb="FFFFFFAF"/>
        <bgColor rgb="FFFFFF99"/>
      </patternFill>
    </fill>
    <fill>
      <patternFill patternType="solid">
        <fgColor rgb="FFD9D9D9"/>
        <bgColor rgb="FFD8DEE9"/>
      </patternFill>
    </fill>
    <fill>
      <patternFill patternType="solid">
        <fgColor rgb="FFCC0000"/>
        <bgColor rgb="FFFF000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6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6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6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6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5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14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6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16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16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16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6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16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5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9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8" fillId="3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3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5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9" fontId="9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7" fontId="9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10" fillId="8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20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993366"/>
      <rgbColor rgb="FFFFFFAF"/>
      <rgbColor rgb="FFCCFFFF"/>
      <rgbColor rgb="FF660066"/>
      <rgbColor rgb="FFFF6666"/>
      <rgbColor rgb="FF0066CC"/>
      <rgbColor rgb="FFD8DEE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8FFF0"/>
      <rgbColor rgb="FFE9F5DB"/>
      <rgbColor rgb="FFFFFF99"/>
      <rgbColor rgb="FF99CCFF"/>
      <rgbColor rgb="FFFF99CC"/>
      <rgbColor rgb="FFCC99FF"/>
      <rgbColor rgb="FFFFCC99"/>
      <rgbColor rgb="FF3366FF"/>
      <rgbColor rgb="FF66CC66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_rels/sheet23.xml.rels><?xml version="1.0" encoding="UTF-8"?>
<Relationships xmlns="http://schemas.openxmlformats.org/package/2006/relationships"><Relationship Id="rId1" Type="http://schemas.openxmlformats.org/officeDocument/2006/relationships/comments" Target="../comments23.xml"/><Relationship Id="rId2" Type="http://schemas.openxmlformats.org/officeDocument/2006/relationships/vmlDrawing" Target="../drawings/vmlDrawing5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3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4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6CC66"/>
    <pageSetUpPr fitToPage="false"/>
  </sheetPr>
  <dimension ref="A1:I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38"/>
    <col collapsed="false" customWidth="true" hidden="false" outlineLevel="0" max="2" min="2" style="1" width="20"/>
    <col collapsed="false" customWidth="true" hidden="false" outlineLevel="0" max="3" min="3" style="1" width="6"/>
    <col collapsed="false" customWidth="true" hidden="false" outlineLevel="0" max="4" min="4" style="1" width="38"/>
    <col collapsed="false" customWidth="true" hidden="false" outlineLevel="0" max="5" min="5" style="1" width="20"/>
  </cols>
  <sheetData>
    <row r="1" customFormat="false" ht="21.75" hidden="false" customHeight="tru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</row>
    <row r="3" customFormat="false" ht="15" hidden="false" customHeight="true" outlineLevel="0" collapsed="false">
      <c r="A3" s="1" t="s">
        <v>1</v>
      </c>
      <c r="B3" s="4" t="s">
        <v>2</v>
      </c>
    </row>
    <row r="4" customFormat="false" ht="15" hidden="false" customHeight="true" outlineLevel="0" collapsed="false">
      <c r="A4" s="1" t="s">
        <v>3</v>
      </c>
      <c r="B4" s="5" t="str">
        <f aca="false">InpC!B2</f>
        <v>Base Case</v>
      </c>
    </row>
    <row r="6" customFormat="false" ht="15" hidden="false" customHeight="true" outlineLevel="0" collapsed="false">
      <c r="A6" s="6" t="s">
        <v>4</v>
      </c>
      <c r="B6" s="7"/>
      <c r="C6" s="7"/>
      <c r="D6" s="7"/>
      <c r="E6" s="7"/>
    </row>
    <row r="7" customFormat="false" ht="15" hidden="false" customHeight="true" outlineLevel="0" collapsed="false">
      <c r="A7" s="8" t="s">
        <v>5</v>
      </c>
      <c r="B7" s="9" t="n">
        <f aca="false">InpC!B6</f>
        <v>20</v>
      </c>
      <c r="C7" s="10" t="s">
        <v>6</v>
      </c>
      <c r="D7" s="8" t="s">
        <v>7</v>
      </c>
      <c r="E7" s="9" t="n">
        <f aca="false">InpC!B12</f>
        <v>35</v>
      </c>
    </row>
    <row r="8" customFormat="false" ht="15" hidden="false" customHeight="true" outlineLevel="0" collapsed="false">
      <c r="A8" s="8" t="s">
        <v>8</v>
      </c>
      <c r="B8" s="11" t="n">
        <f aca="false">InpC!B7</f>
        <v>1.3</v>
      </c>
      <c r="C8" s="10" t="s">
        <v>9</v>
      </c>
      <c r="D8" s="8" t="s">
        <v>10</v>
      </c>
      <c r="E8" s="9" t="n">
        <f aca="false">InpC!B11</f>
        <v>20</v>
      </c>
    </row>
    <row r="9" customFormat="false" ht="15" hidden="false" customHeight="true" outlineLevel="0" collapsed="false">
      <c r="A9" s="8" t="s">
        <v>11</v>
      </c>
      <c r="B9" s="9" t="n">
        <f aca="false">InpC!B14</f>
        <v>58250</v>
      </c>
      <c r="C9" s="10" t="s">
        <v>12</v>
      </c>
      <c r="D9" s="8" t="s">
        <v>13</v>
      </c>
      <c r="E9" s="12" t="n">
        <f aca="false">InpC!B46</f>
        <v>0.21</v>
      </c>
    </row>
    <row r="10" customFormat="false" ht="15" hidden="false" customHeight="true" outlineLevel="0" collapsed="false">
      <c r="A10" s="8" t="s">
        <v>14</v>
      </c>
      <c r="B10" s="12" t="n">
        <f aca="false">InpC!B15</f>
        <v>0.99</v>
      </c>
      <c r="C10" s="10" t="s">
        <v>15</v>
      </c>
      <c r="D10" s="8" t="s">
        <v>16</v>
      </c>
      <c r="E10" s="12" t="n">
        <f aca="false">InpC!B44</f>
        <v>0.3</v>
      </c>
    </row>
    <row r="11" customFormat="false" ht="15" hidden="false" customHeight="true" outlineLevel="0" collapsed="false">
      <c r="A11" s="8" t="s">
        <v>17</v>
      </c>
      <c r="B11" s="12" t="n">
        <f aca="false">InpC!B17</f>
        <v>0.005</v>
      </c>
      <c r="C11" s="10" t="s">
        <v>15</v>
      </c>
      <c r="D11" s="8" t="s">
        <v>18</v>
      </c>
      <c r="E11" s="12" t="n">
        <f aca="false">InpC!B48</f>
        <v>0.08</v>
      </c>
    </row>
    <row r="12" customFormat="false" ht="15" hidden="false" customHeight="true" outlineLevel="0" collapsed="false">
      <c r="A12" s="8" t="s">
        <v>19</v>
      </c>
      <c r="B12" s="13" t="n">
        <f aca="false">InpC!B19</f>
        <v>60</v>
      </c>
      <c r="C12" s="10" t="s">
        <v>20</v>
      </c>
      <c r="D12" s="8" t="s">
        <v>21</v>
      </c>
      <c r="E12" s="12" t="n">
        <f aca="false">InpC!B50</f>
        <v>0.95</v>
      </c>
    </row>
    <row r="13" customFormat="false" ht="15" hidden="false" customHeight="true" outlineLevel="0" collapsed="false">
      <c r="A13" s="8" t="s">
        <v>22</v>
      </c>
      <c r="B13" s="12" t="n">
        <f aca="false">InpC!B20</f>
        <v>0.01</v>
      </c>
      <c r="C13" s="10" t="s">
        <v>15</v>
      </c>
      <c r="D13" s="8" t="s">
        <v>23</v>
      </c>
      <c r="E13" s="12" t="n">
        <f aca="false">InpC!B51</f>
        <v>0.02</v>
      </c>
    </row>
    <row r="14" customFormat="false" ht="15" hidden="false" customHeight="true" outlineLevel="0" collapsed="false">
      <c r="A14" s="8" t="s">
        <v>24</v>
      </c>
      <c r="B14" s="13" t="n">
        <f aca="false">InpC!B21</f>
        <v>40</v>
      </c>
      <c r="C14" s="10" t="s">
        <v>20</v>
      </c>
      <c r="D14" s="8" t="s">
        <v>25</v>
      </c>
      <c r="E14" s="12" t="n">
        <f aca="false">InpC!B53</f>
        <v>0.01</v>
      </c>
    </row>
    <row r="16" customFormat="false" ht="15" hidden="false" customHeight="true" outlineLevel="0" collapsed="false">
      <c r="A16" s="14" t="s">
        <v>26</v>
      </c>
      <c r="B16" s="15"/>
      <c r="C16" s="15"/>
      <c r="D16" s="14" t="s">
        <v>27</v>
      </c>
      <c r="E16" s="15"/>
    </row>
    <row r="17" customFormat="false" ht="15" hidden="false" customHeight="true" outlineLevel="0" collapsed="false">
      <c r="A17" s="8" t="s">
        <v>28</v>
      </c>
      <c r="B17" s="16" t="n">
        <f aca="false">Solve!B5</f>
        <v>31121039.2429788</v>
      </c>
      <c r="C17" s="10" t="s">
        <v>29</v>
      </c>
      <c r="D17" s="8" t="s">
        <v>30</v>
      </c>
      <c r="E17" s="17" t="n">
        <f aca="false">ConCost!B23</f>
        <v>22100000</v>
      </c>
    </row>
    <row r="18" customFormat="false" ht="15" hidden="false" customHeight="true" outlineLevel="0" collapsed="false">
      <c r="A18" s="8" t="s">
        <v>31</v>
      </c>
      <c r="B18" s="16" t="n">
        <f aca="false">Solve!B6</f>
        <v>2921347.86714605</v>
      </c>
      <c r="C18" s="10" t="s">
        <v>29</v>
      </c>
      <c r="D18" s="8" t="s">
        <v>32</v>
      </c>
      <c r="E18" s="17" t="n">
        <f aca="false">ConCost!B24</f>
        <v>2600000</v>
      </c>
    </row>
    <row r="19" customFormat="false" ht="15" hidden="false" customHeight="true" outlineLevel="0" collapsed="false">
      <c r="A19" s="8" t="s">
        <v>33</v>
      </c>
      <c r="B19" s="18" t="n">
        <f aca="false">Solve!B7</f>
        <v>0.0799999977708902</v>
      </c>
      <c r="C19" s="10" t="s">
        <v>15</v>
      </c>
      <c r="D19" s="8" t="s">
        <v>34</v>
      </c>
      <c r="E19" s="17" t="n">
        <f aca="false">ConCost!B25</f>
        <v>1820000</v>
      </c>
    </row>
    <row r="20" customFormat="false" ht="15" hidden="false" customHeight="true" outlineLevel="0" collapsed="false">
      <c r="A20" s="8" t="s">
        <v>35</v>
      </c>
      <c r="B20" s="16" t="n">
        <f aca="false">Equity!B16</f>
        <v>-0.405020583420992</v>
      </c>
      <c r="C20" s="10" t="s">
        <v>29</v>
      </c>
      <c r="D20" s="8" t="s">
        <v>36</v>
      </c>
      <c r="E20" s="17" t="n">
        <f aca="false">ConCost!B26</f>
        <v>1000000</v>
      </c>
    </row>
    <row r="21" customFormat="false" ht="15" hidden="false" customHeight="true" outlineLevel="0" collapsed="false">
      <c r="A21" s="8" t="s">
        <v>37</v>
      </c>
      <c r="B21" s="18" t="n">
        <f aca="false">Equity!B20</f>
        <v>0.0718534867215575</v>
      </c>
      <c r="C21" s="10" t="s">
        <v>15</v>
      </c>
      <c r="D21" s="8" t="s">
        <v>38</v>
      </c>
      <c r="E21" s="17" t="n">
        <f aca="false">SUM(ConFin!E37:P37)</f>
        <v>679691.375832788</v>
      </c>
    </row>
    <row r="22" customFormat="false" ht="15" hidden="false" customHeight="true" outlineLevel="0" collapsed="false">
      <c r="A22" s="8" t="s">
        <v>39</v>
      </c>
      <c r="B22" s="19" t="n">
        <f aca="false">Equity!B24</f>
        <v>1.89258897517677</v>
      </c>
      <c r="C22" s="10" t="s">
        <v>9</v>
      </c>
      <c r="D22" s="8" t="s">
        <v>40</v>
      </c>
      <c r="E22" s="17" t="n">
        <f aca="false">Solve!B6</f>
        <v>2921347.86714605</v>
      </c>
    </row>
    <row r="23" customFormat="false" ht="15" hidden="false" customHeight="true" outlineLevel="0" collapsed="false">
      <c r="A23" s="8" t="s">
        <v>41</v>
      </c>
      <c r="B23" s="20" t="n">
        <f aca="false">Equity!B26</f>
        <v>10</v>
      </c>
      <c r="C23" s="10" t="s">
        <v>42</v>
      </c>
      <c r="D23" s="4" t="s">
        <v>43</v>
      </c>
      <c r="E23" s="21" t="n">
        <f aca="false">SUM(E17:E22)</f>
        <v>31121039.2429788</v>
      </c>
    </row>
    <row r="24" customFormat="false" ht="15" hidden="false" customHeight="true" outlineLevel="0" collapsed="false">
      <c r="A24" s="8" t="s">
        <v>44</v>
      </c>
      <c r="B24" s="16" t="n">
        <f aca="false">Equity!B23</f>
        <v>58899336.5338429</v>
      </c>
      <c r="C24" s="10" t="s">
        <v>29</v>
      </c>
    </row>
    <row r="26" customFormat="false" ht="15" hidden="false" customHeight="true" outlineLevel="0" collapsed="false">
      <c r="A26" s="6" t="s">
        <v>45</v>
      </c>
      <c r="B26" s="7"/>
      <c r="C26" s="7"/>
      <c r="D26" s="7"/>
      <c r="E26" s="7"/>
    </row>
    <row r="27" customFormat="false" ht="15" hidden="false" customHeight="true" outlineLevel="0" collapsed="false">
      <c r="A27" s="1" t="s">
        <v>46</v>
      </c>
      <c r="B27" s="22" t="n">
        <f aca="false">Check!B3</f>
        <v>0</v>
      </c>
      <c r="C27" s="8" t="s">
        <v>47</v>
      </c>
    </row>
    <row r="28" customFormat="false" ht="15" hidden="false" customHeight="true" outlineLevel="0" collapsed="false">
      <c r="A28" s="1" t="s">
        <v>48</v>
      </c>
      <c r="B28" s="23" t="str">
        <f aca="false">IF(ABS('S&amp;U'!B21)&lt;1,"Yes","NO - check S&amp;U sheet")</f>
        <v>Yes</v>
      </c>
    </row>
    <row r="29" customFormat="false" ht="15" hidden="false" customHeight="true" outlineLevel="0" collapsed="false">
      <c r="A29" s="1" t="s">
        <v>49</v>
      </c>
      <c r="B29" s="23" t="str">
        <f aca="false">IF(ABS(Solve!B7-Solve!B8)&lt;0.005,"Yes","NO - check Solve sheet")</f>
        <v>Yes</v>
      </c>
    </row>
    <row r="31" customFormat="false" ht="15" hidden="false" customHeight="true" outlineLevel="0" collapsed="false">
      <c r="A31" s="24" t="s">
        <v>50</v>
      </c>
    </row>
    <row r="32" customFormat="false" ht="15" hidden="false" customHeight="true" outlineLevel="0" collapsed="false">
      <c r="A32" s="8" t="s">
        <v>51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5" topLeftCell="E6" activePane="bottomRight" state="frozen"/>
      <selection pane="topLeft" activeCell="A1" activeCellId="0" sqref="A1"/>
      <selection pane="topRight" activeCell="E1" activeCellId="0" sqref="E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42"/>
    <col collapsed="false" customWidth="true" hidden="false" outlineLevel="0" max="2" min="2" style="1" width="14"/>
    <col collapsed="false" customWidth="true" hidden="false" outlineLevel="0" max="3" min="3" style="1" width="12"/>
    <col collapsed="false" customWidth="true" hidden="false" outlineLevel="0" max="4" min="4" style="1" width="14"/>
    <col collapsed="false" customWidth="true" hidden="false" outlineLevel="0" max="16" min="5" style="1" width="12"/>
  </cols>
  <sheetData>
    <row r="1" customFormat="false" ht="15" hidden="false" customHeight="true" outlineLevel="0" collapsed="false">
      <c r="A1" s="52" t="s">
        <v>243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customFormat="false" ht="15" hidden="false" customHeight="true" outlineLevel="0" collapsed="false">
      <c r="A2" s="4" t="s">
        <v>205</v>
      </c>
      <c r="C2" s="8" t="s">
        <v>206</v>
      </c>
      <c r="E2" s="53" t="n">
        <v>45658</v>
      </c>
      <c r="F2" s="53" t="n">
        <v>45689</v>
      </c>
      <c r="G2" s="53" t="n">
        <v>45717</v>
      </c>
      <c r="H2" s="53" t="n">
        <v>45748</v>
      </c>
      <c r="I2" s="53" t="n">
        <v>45778</v>
      </c>
      <c r="J2" s="53" t="n">
        <v>45809</v>
      </c>
      <c r="K2" s="53" t="n">
        <v>45839</v>
      </c>
      <c r="L2" s="53" t="n">
        <v>45870</v>
      </c>
      <c r="M2" s="53" t="n">
        <v>45901</v>
      </c>
      <c r="N2" s="53" t="n">
        <v>45931</v>
      </c>
      <c r="O2" s="53" t="n">
        <v>45962</v>
      </c>
      <c r="P2" s="53" t="n">
        <v>45992</v>
      </c>
    </row>
    <row r="3" customFormat="false" ht="15" hidden="false" customHeight="true" outlineLevel="0" collapsed="false">
      <c r="A3" s="4" t="s">
        <v>207</v>
      </c>
      <c r="C3" s="8" t="s">
        <v>206</v>
      </c>
      <c r="E3" s="53" t="n">
        <v>45688</v>
      </c>
      <c r="F3" s="53" t="n">
        <v>45716</v>
      </c>
      <c r="G3" s="53" t="n">
        <v>45747</v>
      </c>
      <c r="H3" s="53" t="n">
        <v>45777</v>
      </c>
      <c r="I3" s="53" t="n">
        <v>45808</v>
      </c>
      <c r="J3" s="53" t="n">
        <v>45838</v>
      </c>
      <c r="K3" s="53" t="n">
        <v>45869</v>
      </c>
      <c r="L3" s="53" t="n">
        <v>45900</v>
      </c>
      <c r="M3" s="53" t="n">
        <v>45930</v>
      </c>
      <c r="N3" s="53" t="n">
        <v>45961</v>
      </c>
      <c r="O3" s="53" t="n">
        <v>45991</v>
      </c>
      <c r="P3" s="53" t="n">
        <v>46022</v>
      </c>
    </row>
    <row r="4" customFormat="false" ht="15" hidden="false" customHeight="true" outlineLevel="0" collapsed="false">
      <c r="A4" s="4" t="s">
        <v>208</v>
      </c>
      <c r="C4" s="8" t="s">
        <v>209</v>
      </c>
      <c r="E4" s="54" t="n">
        <v>1</v>
      </c>
      <c r="F4" s="54" t="n">
        <v>2</v>
      </c>
      <c r="G4" s="54" t="n">
        <v>3</v>
      </c>
      <c r="H4" s="54" t="n">
        <v>4</v>
      </c>
      <c r="I4" s="54" t="n">
        <v>5</v>
      </c>
      <c r="J4" s="54" t="n">
        <v>6</v>
      </c>
      <c r="K4" s="54" t="n">
        <v>7</v>
      </c>
      <c r="L4" s="54" t="n">
        <v>8</v>
      </c>
      <c r="M4" s="54" t="n">
        <v>9</v>
      </c>
      <c r="N4" s="54" t="n">
        <v>10</v>
      </c>
      <c r="O4" s="54" t="n">
        <v>11</v>
      </c>
      <c r="P4" s="54" t="n">
        <v>12</v>
      </c>
    </row>
    <row r="5" customFormat="false" ht="15" hidden="false" customHeight="true" outlineLevel="0" collapsed="false">
      <c r="A5" s="55" t="s">
        <v>210</v>
      </c>
      <c r="B5" s="55" t="s">
        <v>90</v>
      </c>
      <c r="C5" s="55" t="s">
        <v>91</v>
      </c>
      <c r="D5" s="55" t="s">
        <v>211</v>
      </c>
      <c r="E5" s="56" t="n">
        <v>2025</v>
      </c>
      <c r="F5" s="56" t="n">
        <v>2025</v>
      </c>
      <c r="G5" s="56" t="n">
        <v>2025</v>
      </c>
      <c r="H5" s="56" t="n">
        <v>2025</v>
      </c>
      <c r="I5" s="56" t="n">
        <v>2025</v>
      </c>
      <c r="J5" s="56" t="n">
        <v>2025</v>
      </c>
      <c r="K5" s="56" t="n">
        <v>2025</v>
      </c>
      <c r="L5" s="56" t="n">
        <v>2025</v>
      </c>
      <c r="M5" s="56" t="n">
        <v>2025</v>
      </c>
      <c r="N5" s="56" t="n">
        <v>2025</v>
      </c>
      <c r="O5" s="56" t="n">
        <v>2025</v>
      </c>
      <c r="P5" s="56" t="n">
        <v>2025</v>
      </c>
    </row>
    <row r="6" customFormat="false" ht="15" hidden="false" customHeight="true" outlineLevel="0" collapsed="false">
      <c r="A6" s="57" t="s">
        <v>244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customFormat="false" ht="15" hidden="false" customHeight="true" outlineLevel="0" collapsed="false">
      <c r="A7" s="8" t="s">
        <v>245</v>
      </c>
      <c r="B7" s="9" t="n">
        <f aca="false">InpC!B6</f>
        <v>20</v>
      </c>
      <c r="C7" s="10" t="s">
        <v>6</v>
      </c>
    </row>
    <row r="8" customFormat="false" ht="15" hidden="false" customHeight="true" outlineLevel="0" collapsed="false">
      <c r="A8" s="8" t="s">
        <v>246</v>
      </c>
      <c r="B8" s="11" t="n">
        <f aca="false">InpC!B7</f>
        <v>1.3</v>
      </c>
      <c r="C8" s="10" t="s">
        <v>9</v>
      </c>
    </row>
    <row r="9" customFormat="false" ht="15" hidden="false" customHeight="true" outlineLevel="0" collapsed="false">
      <c r="A9" s="8" t="s">
        <v>247</v>
      </c>
      <c r="B9" s="13" t="n">
        <f aca="false">InpC!B36</f>
        <v>0.85</v>
      </c>
      <c r="C9" s="10" t="s">
        <v>135</v>
      </c>
    </row>
    <row r="10" customFormat="false" ht="15" hidden="false" customHeight="true" outlineLevel="0" collapsed="false">
      <c r="A10" s="8" t="s">
        <v>248</v>
      </c>
      <c r="B10" s="13" t="n">
        <f aca="false">InpC!B37</f>
        <v>0.1</v>
      </c>
      <c r="C10" s="10" t="s">
        <v>135</v>
      </c>
    </row>
    <row r="11" customFormat="false" ht="15" hidden="false" customHeight="true" outlineLevel="0" collapsed="false">
      <c r="A11" s="8" t="s">
        <v>249</v>
      </c>
      <c r="B11" s="13" t="n">
        <f aca="false">InpC!B38</f>
        <v>0.07</v>
      </c>
      <c r="C11" s="10" t="s">
        <v>135</v>
      </c>
    </row>
    <row r="12" customFormat="false" ht="15" hidden="false" customHeight="true" outlineLevel="0" collapsed="false">
      <c r="A12" s="8" t="s">
        <v>250</v>
      </c>
      <c r="B12" s="17" t="n">
        <f aca="false">InpC!B39</f>
        <v>1000000</v>
      </c>
      <c r="C12" s="10" t="s">
        <v>29</v>
      </c>
    </row>
    <row r="13" customFormat="false" ht="15" hidden="false" customHeight="true" outlineLevel="0" collapsed="false">
      <c r="A13" s="8" t="s">
        <v>251</v>
      </c>
      <c r="B13" s="12" t="n">
        <f aca="false">InpC!B56</f>
        <v>0</v>
      </c>
      <c r="C13" s="10" t="s">
        <v>15</v>
      </c>
    </row>
    <row r="14" customFormat="false" ht="15" hidden="false" customHeight="true" outlineLevel="0" collapsed="false">
      <c r="A14" s="8" t="s">
        <v>225</v>
      </c>
      <c r="B14" s="9" t="n">
        <f aca="false">InpC!B10</f>
        <v>12</v>
      </c>
      <c r="C14" s="10" t="s">
        <v>103</v>
      </c>
    </row>
    <row r="15" customFormat="false" ht="15" hidden="false" customHeight="true" outlineLevel="0" collapsed="false">
      <c r="A15" s="8" t="s">
        <v>252</v>
      </c>
      <c r="C15" s="10" t="s">
        <v>219</v>
      </c>
      <c r="E15" s="63" t="n">
        <f aca="false">TimeM!E10</f>
        <v>1</v>
      </c>
      <c r="F15" s="63" t="n">
        <f aca="false">TimeM!F10</f>
        <v>1</v>
      </c>
      <c r="G15" s="63" t="n">
        <f aca="false">TimeM!G10</f>
        <v>1</v>
      </c>
      <c r="H15" s="63" t="n">
        <f aca="false">TimeM!H10</f>
        <v>1</v>
      </c>
      <c r="I15" s="63" t="n">
        <f aca="false">TimeM!I10</f>
        <v>1</v>
      </c>
      <c r="J15" s="63" t="n">
        <f aca="false">TimeM!J10</f>
        <v>1</v>
      </c>
      <c r="K15" s="63" t="n">
        <f aca="false">TimeM!K10</f>
        <v>1</v>
      </c>
      <c r="L15" s="63" t="n">
        <f aca="false">TimeM!L10</f>
        <v>1</v>
      </c>
      <c r="M15" s="63" t="n">
        <f aca="false">TimeM!M10</f>
        <v>1</v>
      </c>
      <c r="N15" s="63" t="n">
        <f aca="false">TimeM!N10</f>
        <v>1</v>
      </c>
      <c r="O15" s="63" t="n">
        <f aca="false">TimeM!O10</f>
        <v>1</v>
      </c>
      <c r="P15" s="63" t="n">
        <f aca="false">TimeM!P10</f>
        <v>1</v>
      </c>
    </row>
    <row r="16" customFormat="false" ht="15" hidden="false" customHeight="true" outlineLevel="0" collapsed="false">
      <c r="A16" s="8" t="s">
        <v>253</v>
      </c>
      <c r="C16" s="10" t="s">
        <v>219</v>
      </c>
      <c r="E16" s="63" t="n">
        <f aca="false">TimeM!E11</f>
        <v>1</v>
      </c>
      <c r="F16" s="63" t="n">
        <f aca="false">TimeM!F11</f>
        <v>0</v>
      </c>
      <c r="G16" s="63" t="n">
        <f aca="false">TimeM!G11</f>
        <v>0</v>
      </c>
      <c r="H16" s="63" t="n">
        <f aca="false">TimeM!H11</f>
        <v>0</v>
      </c>
      <c r="I16" s="63" t="n">
        <f aca="false">TimeM!I11</f>
        <v>0</v>
      </c>
      <c r="J16" s="63" t="n">
        <f aca="false">TimeM!J11</f>
        <v>0</v>
      </c>
      <c r="K16" s="63" t="n">
        <f aca="false">TimeM!K11</f>
        <v>0</v>
      </c>
      <c r="L16" s="63" t="n">
        <f aca="false">TimeM!L11</f>
        <v>0</v>
      </c>
      <c r="M16" s="63" t="n">
        <f aca="false">TimeM!M11</f>
        <v>0</v>
      </c>
      <c r="N16" s="63" t="n">
        <f aca="false">TimeM!N11</f>
        <v>0</v>
      </c>
      <c r="O16" s="63" t="n">
        <f aca="false">TimeM!O11</f>
        <v>0</v>
      </c>
      <c r="P16" s="63" t="n">
        <f aca="false">TimeM!P11</f>
        <v>0</v>
      </c>
    </row>
    <row r="18" customFormat="false" ht="15" hidden="false" customHeight="true" outlineLevel="0" collapsed="false">
      <c r="A18" s="57" t="s">
        <v>254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</row>
    <row r="19" customFormat="false" ht="15" hidden="false" customHeight="true" outlineLevel="0" collapsed="false">
      <c r="A19" s="8" t="s">
        <v>255</v>
      </c>
      <c r="B19" s="62" t="n">
        <f aca="false">B7*B8</f>
        <v>26</v>
      </c>
      <c r="C19" s="10" t="s">
        <v>256</v>
      </c>
    </row>
    <row r="20" customFormat="false" ht="15" hidden="false" customHeight="true" outlineLevel="0" collapsed="false">
      <c r="A20" s="8" t="s">
        <v>255</v>
      </c>
      <c r="B20" s="59" t="n">
        <f aca="false">B19*1000000</f>
        <v>26000000</v>
      </c>
      <c r="C20" s="10" t="s">
        <v>257</v>
      </c>
    </row>
    <row r="22" customFormat="false" ht="15" hidden="false" customHeight="true" outlineLevel="0" collapsed="false">
      <c r="A22" s="57" t="s">
        <v>258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</row>
    <row r="23" customFormat="false" ht="15" hidden="false" customHeight="true" outlineLevel="0" collapsed="false">
      <c r="A23" s="8" t="s">
        <v>259</v>
      </c>
      <c r="B23" s="64" t="n">
        <f aca="false">B20*B9*(1+B13)</f>
        <v>22100000</v>
      </c>
      <c r="C23" s="10" t="s">
        <v>29</v>
      </c>
    </row>
    <row r="24" customFormat="false" ht="15" hidden="false" customHeight="true" outlineLevel="0" collapsed="false">
      <c r="A24" s="8" t="s">
        <v>260</v>
      </c>
      <c r="B24" s="64" t="n">
        <f aca="false">B20*B10*(1+B13)</f>
        <v>2600000</v>
      </c>
      <c r="C24" s="10" t="s">
        <v>29</v>
      </c>
    </row>
    <row r="25" customFormat="false" ht="15" hidden="false" customHeight="true" outlineLevel="0" collapsed="false">
      <c r="A25" s="8" t="s">
        <v>261</v>
      </c>
      <c r="B25" s="64" t="n">
        <f aca="false">B20*B11*(1+B13)</f>
        <v>1820000</v>
      </c>
      <c r="C25" s="10" t="s">
        <v>29</v>
      </c>
    </row>
    <row r="26" customFormat="false" ht="15" hidden="false" customHeight="true" outlineLevel="0" collapsed="false">
      <c r="A26" s="8" t="s">
        <v>262</v>
      </c>
      <c r="B26" s="64" t="n">
        <f aca="false">B12</f>
        <v>1000000</v>
      </c>
      <c r="C26" s="10" t="s">
        <v>29</v>
      </c>
    </row>
    <row r="27" customFormat="false" ht="15" hidden="false" customHeight="true" outlineLevel="0" collapsed="false">
      <c r="A27" s="8" t="s">
        <v>263</v>
      </c>
      <c r="B27" s="44" t="n">
        <f aca="false">B23+B24</f>
        <v>24700000</v>
      </c>
      <c r="C27" s="10" t="s">
        <v>29</v>
      </c>
    </row>
    <row r="28" customFormat="false" ht="15" hidden="false" customHeight="true" outlineLevel="0" collapsed="false">
      <c r="A28" s="8" t="s">
        <v>264</v>
      </c>
      <c r="B28" s="44" t="n">
        <f aca="false">B27+B25+B26</f>
        <v>27520000</v>
      </c>
      <c r="C28" s="10" t="s">
        <v>29</v>
      </c>
    </row>
    <row r="30" customFormat="false" ht="15" hidden="false" customHeight="true" outlineLevel="0" collapsed="false">
      <c r="A30" s="57" t="s">
        <v>265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</row>
    <row r="31" customFormat="false" ht="15" hidden="false" customHeight="true" outlineLevel="0" collapsed="false">
      <c r="A31" s="8" t="s">
        <v>266</v>
      </c>
      <c r="C31" s="10" t="s">
        <v>29</v>
      </c>
      <c r="D31" s="59" t="n">
        <f aca="false">SUM(E31:P31)</f>
        <v>22100000</v>
      </c>
      <c r="E31" s="64" t="n">
        <f aca="false">$B$23/$B$14*E15</f>
        <v>1841666.66666667</v>
      </c>
      <c r="F31" s="64" t="n">
        <f aca="false">$B$23/$B$14*F15</f>
        <v>1841666.66666667</v>
      </c>
      <c r="G31" s="64" t="n">
        <f aca="false">$B$23/$B$14*G15</f>
        <v>1841666.66666667</v>
      </c>
      <c r="H31" s="64" t="n">
        <f aca="false">$B$23/$B$14*H15</f>
        <v>1841666.66666667</v>
      </c>
      <c r="I31" s="64" t="n">
        <f aca="false">$B$23/$B$14*I15</f>
        <v>1841666.66666667</v>
      </c>
      <c r="J31" s="64" t="n">
        <f aca="false">$B$23/$B$14*J15</f>
        <v>1841666.66666667</v>
      </c>
      <c r="K31" s="64" t="n">
        <f aca="false">$B$23/$B$14*K15</f>
        <v>1841666.66666667</v>
      </c>
      <c r="L31" s="64" t="n">
        <f aca="false">$B$23/$B$14*L15</f>
        <v>1841666.66666667</v>
      </c>
      <c r="M31" s="64" t="n">
        <f aca="false">$B$23/$B$14*M15</f>
        <v>1841666.66666667</v>
      </c>
      <c r="N31" s="64" t="n">
        <f aca="false">$B$23/$B$14*N15</f>
        <v>1841666.66666667</v>
      </c>
      <c r="O31" s="64" t="n">
        <f aca="false">$B$23/$B$14*O15</f>
        <v>1841666.66666667</v>
      </c>
      <c r="P31" s="64" t="n">
        <f aca="false">$B$23/$B$14*P15</f>
        <v>1841666.66666667</v>
      </c>
    </row>
    <row r="32" customFormat="false" ht="15" hidden="false" customHeight="true" outlineLevel="0" collapsed="false">
      <c r="A32" s="8" t="s">
        <v>267</v>
      </c>
      <c r="C32" s="10" t="s">
        <v>29</v>
      </c>
      <c r="D32" s="59" t="n">
        <f aca="false">SUM(E32:P32)</f>
        <v>2600000</v>
      </c>
      <c r="E32" s="64" t="n">
        <f aca="false">$B$24/$B$14*E15</f>
        <v>216666.666666667</v>
      </c>
      <c r="F32" s="64" t="n">
        <f aca="false">$B$24/$B$14*F15</f>
        <v>216666.666666667</v>
      </c>
      <c r="G32" s="64" t="n">
        <f aca="false">$B$24/$B$14*G15</f>
        <v>216666.666666667</v>
      </c>
      <c r="H32" s="64" t="n">
        <f aca="false">$B$24/$B$14*H15</f>
        <v>216666.666666667</v>
      </c>
      <c r="I32" s="64" t="n">
        <f aca="false">$B$24/$B$14*I15</f>
        <v>216666.666666667</v>
      </c>
      <c r="J32" s="64" t="n">
        <f aca="false">$B$24/$B$14*J15</f>
        <v>216666.666666667</v>
      </c>
      <c r="K32" s="64" t="n">
        <f aca="false">$B$24/$B$14*K15</f>
        <v>216666.666666667</v>
      </c>
      <c r="L32" s="64" t="n">
        <f aca="false">$B$24/$B$14*L15</f>
        <v>216666.666666667</v>
      </c>
      <c r="M32" s="64" t="n">
        <f aca="false">$B$24/$B$14*M15</f>
        <v>216666.666666667</v>
      </c>
      <c r="N32" s="64" t="n">
        <f aca="false">$B$24/$B$14*N15</f>
        <v>216666.666666667</v>
      </c>
      <c r="O32" s="64" t="n">
        <f aca="false">$B$24/$B$14*O15</f>
        <v>216666.666666667</v>
      </c>
      <c r="P32" s="64" t="n">
        <f aca="false">$B$24/$B$14*P15</f>
        <v>216666.666666667</v>
      </c>
    </row>
    <row r="33" customFormat="false" ht="15" hidden="false" customHeight="true" outlineLevel="0" collapsed="false">
      <c r="A33" s="8" t="s">
        <v>268</v>
      </c>
      <c r="C33" s="10" t="s">
        <v>29</v>
      </c>
      <c r="D33" s="59" t="n">
        <f aca="false">SUM(E33:P33)</f>
        <v>1820000</v>
      </c>
      <c r="E33" s="64" t="n">
        <f aca="false">$B$25*E16</f>
        <v>1820000</v>
      </c>
      <c r="F33" s="64" t="n">
        <f aca="false">$B$25*F16</f>
        <v>0</v>
      </c>
      <c r="G33" s="64" t="n">
        <f aca="false">$B$25*G16</f>
        <v>0</v>
      </c>
      <c r="H33" s="64" t="n">
        <f aca="false">$B$25*H16</f>
        <v>0</v>
      </c>
      <c r="I33" s="64" t="n">
        <f aca="false">$B$25*I16</f>
        <v>0</v>
      </c>
      <c r="J33" s="64" t="n">
        <f aca="false">$B$25*J16</f>
        <v>0</v>
      </c>
      <c r="K33" s="64" t="n">
        <f aca="false">$B$25*K16</f>
        <v>0</v>
      </c>
      <c r="L33" s="64" t="n">
        <f aca="false">$B$25*L16</f>
        <v>0</v>
      </c>
      <c r="M33" s="64" t="n">
        <f aca="false">$B$25*M16</f>
        <v>0</v>
      </c>
      <c r="N33" s="64" t="n">
        <f aca="false">$B$25*N16</f>
        <v>0</v>
      </c>
      <c r="O33" s="64" t="n">
        <f aca="false">$B$25*O16</f>
        <v>0</v>
      </c>
      <c r="P33" s="64" t="n">
        <f aca="false">$B$25*P16</f>
        <v>0</v>
      </c>
    </row>
    <row r="34" customFormat="false" ht="15" hidden="false" customHeight="true" outlineLevel="0" collapsed="false">
      <c r="A34" s="8" t="s">
        <v>269</v>
      </c>
      <c r="C34" s="10" t="s">
        <v>29</v>
      </c>
      <c r="D34" s="59" t="n">
        <f aca="false">SUM(E34:P34)</f>
        <v>1000000</v>
      </c>
      <c r="E34" s="64" t="n">
        <f aca="false">$B$26*E16</f>
        <v>1000000</v>
      </c>
      <c r="F34" s="64" t="n">
        <f aca="false">$B$26*F16</f>
        <v>0</v>
      </c>
      <c r="G34" s="64" t="n">
        <f aca="false">$B$26*G16</f>
        <v>0</v>
      </c>
      <c r="H34" s="64" t="n">
        <f aca="false">$B$26*H16</f>
        <v>0</v>
      </c>
      <c r="I34" s="64" t="n">
        <f aca="false">$B$26*I16</f>
        <v>0</v>
      </c>
      <c r="J34" s="64" t="n">
        <f aca="false">$B$26*J16</f>
        <v>0</v>
      </c>
      <c r="K34" s="64" t="n">
        <f aca="false">$B$26*K16</f>
        <v>0</v>
      </c>
      <c r="L34" s="64" t="n">
        <f aca="false">$B$26*L16</f>
        <v>0</v>
      </c>
      <c r="M34" s="64" t="n">
        <f aca="false">$B$26*M16</f>
        <v>0</v>
      </c>
      <c r="N34" s="64" t="n">
        <f aca="false">$B$26*N16</f>
        <v>0</v>
      </c>
      <c r="O34" s="64" t="n">
        <f aca="false">$B$26*O16</f>
        <v>0</v>
      </c>
      <c r="P34" s="64" t="n">
        <f aca="false">$B$26*P16</f>
        <v>0</v>
      </c>
    </row>
    <row r="35" customFormat="false" ht="15" hidden="false" customHeight="true" outlineLevel="0" collapsed="false">
      <c r="A35" s="8" t="s">
        <v>270</v>
      </c>
      <c r="C35" s="10" t="s">
        <v>29</v>
      </c>
      <c r="D35" s="59" t="n">
        <f aca="false">SUM(E35:P35)</f>
        <v>27520000</v>
      </c>
      <c r="E35" s="44" t="n">
        <f aca="false">SUM(E31:E34)</f>
        <v>4878333.33333333</v>
      </c>
      <c r="F35" s="44" t="n">
        <f aca="false">SUM(F31:F34)</f>
        <v>2058333.33333333</v>
      </c>
      <c r="G35" s="44" t="n">
        <f aca="false">SUM(G31:G34)</f>
        <v>2058333.33333333</v>
      </c>
      <c r="H35" s="44" t="n">
        <f aca="false">SUM(H31:H34)</f>
        <v>2058333.33333333</v>
      </c>
      <c r="I35" s="44" t="n">
        <f aca="false">SUM(I31:I34)</f>
        <v>2058333.33333333</v>
      </c>
      <c r="J35" s="44" t="n">
        <f aca="false">SUM(J31:J34)</f>
        <v>2058333.33333333</v>
      </c>
      <c r="K35" s="44" t="n">
        <f aca="false">SUM(K31:K34)</f>
        <v>2058333.33333333</v>
      </c>
      <c r="L35" s="44" t="n">
        <f aca="false">SUM(L31:L34)</f>
        <v>2058333.33333333</v>
      </c>
      <c r="M35" s="44" t="n">
        <f aca="false">SUM(M31:M34)</f>
        <v>2058333.33333333</v>
      </c>
      <c r="N35" s="44" t="n">
        <f aca="false">SUM(N31:N34)</f>
        <v>2058333.33333333</v>
      </c>
      <c r="O35" s="44" t="n">
        <f aca="false">SUM(O31:O34)</f>
        <v>2058333.33333333</v>
      </c>
      <c r="P35" s="44" t="n">
        <f aca="false">SUM(P31:P34)</f>
        <v>2058333.33333333</v>
      </c>
    </row>
    <row r="37" customFormat="false" ht="15" hidden="false" customHeight="true" outlineLevel="0" collapsed="false">
      <c r="A37" s="57" t="s">
        <v>271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</row>
    <row r="38" customFormat="false" ht="15" hidden="false" customHeight="true" outlineLevel="0" collapsed="false">
      <c r="A38" s="8" t="s">
        <v>272</v>
      </c>
      <c r="C38" s="10" t="s">
        <v>29</v>
      </c>
      <c r="E38" s="64" t="n">
        <f aca="false">E35</f>
        <v>4878333.33333333</v>
      </c>
      <c r="F38" s="64" t="n">
        <f aca="false">E38+F35</f>
        <v>6936666.66666667</v>
      </c>
      <c r="G38" s="64" t="n">
        <f aca="false">F38+G35</f>
        <v>8995000</v>
      </c>
      <c r="H38" s="64" t="n">
        <f aca="false">G38+H35</f>
        <v>11053333.3333333</v>
      </c>
      <c r="I38" s="64" t="n">
        <f aca="false">H38+I35</f>
        <v>13111666.6666667</v>
      </c>
      <c r="J38" s="64" t="n">
        <f aca="false">I38+J35</f>
        <v>15170000</v>
      </c>
      <c r="K38" s="64" t="n">
        <f aca="false">J38+K35</f>
        <v>17228333.3333333</v>
      </c>
      <c r="L38" s="64" t="n">
        <f aca="false">K38+L35</f>
        <v>19286666.6666667</v>
      </c>
      <c r="M38" s="64" t="n">
        <f aca="false">L38+M35</f>
        <v>21345000</v>
      </c>
      <c r="N38" s="64" t="n">
        <f aca="false">M38+N35</f>
        <v>23403333.3333333</v>
      </c>
      <c r="O38" s="64" t="n">
        <f aca="false">N38+O35</f>
        <v>25461666.6666667</v>
      </c>
      <c r="P38" s="64" t="n">
        <f aca="false">O38+P35</f>
        <v>27520000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5" topLeftCell="E6" activePane="bottomRight" state="frozen"/>
      <selection pane="topLeft" activeCell="A1" activeCellId="0" sqref="A1"/>
      <selection pane="topRight" activeCell="E1" activeCellId="0" sqref="E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42"/>
    <col collapsed="false" customWidth="true" hidden="false" outlineLevel="0" max="2" min="2" style="1" width="14"/>
    <col collapsed="false" customWidth="true" hidden="false" outlineLevel="0" max="3" min="3" style="1" width="12"/>
    <col collapsed="false" customWidth="true" hidden="false" outlineLevel="0" max="4" min="4" style="1" width="14"/>
    <col collapsed="false" customWidth="true" hidden="false" outlineLevel="0" max="16" min="5" style="1" width="12"/>
  </cols>
  <sheetData>
    <row r="1" customFormat="false" ht="15" hidden="false" customHeight="true" outlineLevel="0" collapsed="false">
      <c r="A1" s="52" t="s">
        <v>273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customFormat="false" ht="15" hidden="false" customHeight="true" outlineLevel="0" collapsed="false">
      <c r="A2" s="4" t="s">
        <v>205</v>
      </c>
      <c r="C2" s="8" t="s">
        <v>206</v>
      </c>
      <c r="E2" s="53" t="n">
        <v>45658</v>
      </c>
      <c r="F2" s="53" t="n">
        <v>45689</v>
      </c>
      <c r="G2" s="53" t="n">
        <v>45717</v>
      </c>
      <c r="H2" s="53" t="n">
        <v>45748</v>
      </c>
      <c r="I2" s="53" t="n">
        <v>45778</v>
      </c>
      <c r="J2" s="53" t="n">
        <v>45809</v>
      </c>
      <c r="K2" s="53" t="n">
        <v>45839</v>
      </c>
      <c r="L2" s="53" t="n">
        <v>45870</v>
      </c>
      <c r="M2" s="53" t="n">
        <v>45901</v>
      </c>
      <c r="N2" s="53" t="n">
        <v>45931</v>
      </c>
      <c r="O2" s="53" t="n">
        <v>45962</v>
      </c>
      <c r="P2" s="53" t="n">
        <v>45992</v>
      </c>
    </row>
    <row r="3" customFormat="false" ht="15" hidden="false" customHeight="true" outlineLevel="0" collapsed="false">
      <c r="A3" s="4" t="s">
        <v>207</v>
      </c>
      <c r="C3" s="8" t="s">
        <v>206</v>
      </c>
      <c r="E3" s="53" t="n">
        <v>45688</v>
      </c>
      <c r="F3" s="53" t="n">
        <v>45716</v>
      </c>
      <c r="G3" s="53" t="n">
        <v>45747</v>
      </c>
      <c r="H3" s="53" t="n">
        <v>45777</v>
      </c>
      <c r="I3" s="53" t="n">
        <v>45808</v>
      </c>
      <c r="J3" s="53" t="n">
        <v>45838</v>
      </c>
      <c r="K3" s="53" t="n">
        <v>45869</v>
      </c>
      <c r="L3" s="53" t="n">
        <v>45900</v>
      </c>
      <c r="M3" s="53" t="n">
        <v>45930</v>
      </c>
      <c r="N3" s="53" t="n">
        <v>45961</v>
      </c>
      <c r="O3" s="53" t="n">
        <v>45991</v>
      </c>
      <c r="P3" s="53" t="n">
        <v>46022</v>
      </c>
    </row>
    <row r="4" customFormat="false" ht="15" hidden="false" customHeight="true" outlineLevel="0" collapsed="false">
      <c r="A4" s="4" t="s">
        <v>208</v>
      </c>
      <c r="C4" s="8" t="s">
        <v>209</v>
      </c>
      <c r="E4" s="54" t="n">
        <v>1</v>
      </c>
      <c r="F4" s="54" t="n">
        <v>2</v>
      </c>
      <c r="G4" s="54" t="n">
        <v>3</v>
      </c>
      <c r="H4" s="54" t="n">
        <v>4</v>
      </c>
      <c r="I4" s="54" t="n">
        <v>5</v>
      </c>
      <c r="J4" s="54" t="n">
        <v>6</v>
      </c>
      <c r="K4" s="54" t="n">
        <v>7</v>
      </c>
      <c r="L4" s="54" t="n">
        <v>8</v>
      </c>
      <c r="M4" s="54" t="n">
        <v>9</v>
      </c>
      <c r="N4" s="54" t="n">
        <v>10</v>
      </c>
      <c r="O4" s="54" t="n">
        <v>11</v>
      </c>
      <c r="P4" s="54" t="n">
        <v>12</v>
      </c>
    </row>
    <row r="5" customFormat="false" ht="15" hidden="false" customHeight="true" outlineLevel="0" collapsed="false">
      <c r="A5" s="55" t="s">
        <v>210</v>
      </c>
      <c r="B5" s="55" t="s">
        <v>90</v>
      </c>
      <c r="C5" s="55" t="s">
        <v>91</v>
      </c>
      <c r="D5" s="55" t="s">
        <v>211</v>
      </c>
      <c r="E5" s="56" t="n">
        <v>2025</v>
      </c>
      <c r="F5" s="56" t="n">
        <v>2025</v>
      </c>
      <c r="G5" s="56" t="n">
        <v>2025</v>
      </c>
      <c r="H5" s="56" t="n">
        <v>2025</v>
      </c>
      <c r="I5" s="56" t="n">
        <v>2025</v>
      </c>
      <c r="J5" s="56" t="n">
        <v>2025</v>
      </c>
      <c r="K5" s="56" t="n">
        <v>2025</v>
      </c>
      <c r="L5" s="56" t="n">
        <v>2025</v>
      </c>
      <c r="M5" s="56" t="n">
        <v>2025</v>
      </c>
      <c r="N5" s="56" t="n">
        <v>2025</v>
      </c>
      <c r="O5" s="56" t="n">
        <v>2025</v>
      </c>
      <c r="P5" s="56" t="n">
        <v>2025</v>
      </c>
    </row>
    <row r="6" customFormat="false" ht="15" hidden="false" customHeight="true" outlineLevel="0" collapsed="false">
      <c r="A6" s="57" t="s">
        <v>244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customFormat="false" ht="15" hidden="false" customHeight="true" outlineLevel="0" collapsed="false">
      <c r="A7" s="8" t="s">
        <v>274</v>
      </c>
      <c r="B7" s="12" t="n">
        <f aca="false">InpC!B50</f>
        <v>0.95</v>
      </c>
      <c r="C7" s="10" t="s">
        <v>15</v>
      </c>
    </row>
    <row r="8" customFormat="false" ht="15" hidden="false" customHeight="true" outlineLevel="0" collapsed="false">
      <c r="A8" s="8" t="s">
        <v>275</v>
      </c>
      <c r="B8" s="12" t="n">
        <f aca="false">InpC!B51</f>
        <v>0.02</v>
      </c>
      <c r="C8" s="10" t="s">
        <v>276</v>
      </c>
    </row>
    <row r="9" customFormat="false" ht="15" hidden="false" customHeight="true" outlineLevel="0" collapsed="false">
      <c r="A9" s="8" t="s">
        <v>277</v>
      </c>
      <c r="B9" s="12" t="n">
        <f aca="false">InpC!B52</f>
        <v>0.005</v>
      </c>
      <c r="C9" s="10" t="s">
        <v>276</v>
      </c>
    </row>
    <row r="10" customFormat="false" ht="15" hidden="false" customHeight="true" outlineLevel="0" collapsed="false">
      <c r="A10" s="8" t="s">
        <v>278</v>
      </c>
      <c r="B10" s="12" t="n">
        <f aca="false">InpC!B53</f>
        <v>0.01</v>
      </c>
      <c r="C10" s="10" t="s">
        <v>15</v>
      </c>
    </row>
    <row r="11" customFormat="false" ht="15" hidden="false" customHeight="true" outlineLevel="0" collapsed="false">
      <c r="A11" s="8" t="s">
        <v>279</v>
      </c>
      <c r="B11" s="17" t="n">
        <f aca="false">ConCost!B28</f>
        <v>27520000</v>
      </c>
      <c r="C11" s="10" t="s">
        <v>29</v>
      </c>
    </row>
    <row r="12" customFormat="false" ht="15" hidden="false" customHeight="true" outlineLevel="0" collapsed="false">
      <c r="A12" s="8" t="s">
        <v>280</v>
      </c>
      <c r="C12" s="10" t="s">
        <v>29</v>
      </c>
      <c r="D12" s="59" t="n">
        <f aca="false">SUM(E12:P12)</f>
        <v>27520000</v>
      </c>
      <c r="E12" s="17" t="n">
        <f aca="false">ConCost!E35</f>
        <v>4878333.33333333</v>
      </c>
      <c r="F12" s="17" t="n">
        <f aca="false">ConCost!F35</f>
        <v>2058333.33333333</v>
      </c>
      <c r="G12" s="17" t="n">
        <f aca="false">ConCost!G35</f>
        <v>2058333.33333333</v>
      </c>
      <c r="H12" s="17" t="n">
        <f aca="false">ConCost!H35</f>
        <v>2058333.33333333</v>
      </c>
      <c r="I12" s="17" t="n">
        <f aca="false">ConCost!I35</f>
        <v>2058333.33333333</v>
      </c>
      <c r="J12" s="17" t="n">
        <f aca="false">ConCost!J35</f>
        <v>2058333.33333333</v>
      </c>
      <c r="K12" s="17" t="n">
        <f aca="false">ConCost!K35</f>
        <v>2058333.33333333</v>
      </c>
      <c r="L12" s="17" t="n">
        <f aca="false">ConCost!L35</f>
        <v>2058333.33333333</v>
      </c>
      <c r="M12" s="17" t="n">
        <f aca="false">ConCost!M35</f>
        <v>2058333.33333333</v>
      </c>
      <c r="N12" s="17" t="n">
        <f aca="false">ConCost!N35</f>
        <v>2058333.33333333</v>
      </c>
      <c r="O12" s="17" t="n">
        <f aca="false">ConCost!O35</f>
        <v>2058333.33333333</v>
      </c>
      <c r="P12" s="17" t="n">
        <f aca="false">ConCost!P35</f>
        <v>2058333.33333333</v>
      </c>
    </row>
    <row r="13" customFormat="false" ht="15" hidden="false" customHeight="true" outlineLevel="0" collapsed="false">
      <c r="A13" s="8" t="s">
        <v>253</v>
      </c>
      <c r="C13" s="10" t="s">
        <v>219</v>
      </c>
      <c r="E13" s="63" t="n">
        <f aca="false">TimeM!E11</f>
        <v>1</v>
      </c>
      <c r="F13" s="63" t="n">
        <f aca="false">TimeM!F11</f>
        <v>0</v>
      </c>
      <c r="G13" s="63" t="n">
        <f aca="false">TimeM!G11</f>
        <v>0</v>
      </c>
      <c r="H13" s="63" t="n">
        <f aca="false">TimeM!H11</f>
        <v>0</v>
      </c>
      <c r="I13" s="63" t="n">
        <f aca="false">TimeM!I11</f>
        <v>0</v>
      </c>
      <c r="J13" s="63" t="n">
        <f aca="false">TimeM!J11</f>
        <v>0</v>
      </c>
      <c r="K13" s="63" t="n">
        <f aca="false">TimeM!K11</f>
        <v>0</v>
      </c>
      <c r="L13" s="63" t="n">
        <f aca="false">TimeM!L11</f>
        <v>0</v>
      </c>
      <c r="M13" s="63" t="n">
        <f aca="false">TimeM!M11</f>
        <v>0</v>
      </c>
      <c r="N13" s="63" t="n">
        <f aca="false">TimeM!N11</f>
        <v>0</v>
      </c>
      <c r="O13" s="63" t="n">
        <f aca="false">TimeM!O11</f>
        <v>0</v>
      </c>
      <c r="P13" s="63" t="n">
        <f aca="false">TimeM!P11</f>
        <v>0</v>
      </c>
    </row>
    <row r="14" customFormat="false" ht="15" hidden="false" customHeight="true" outlineLevel="0" collapsed="false">
      <c r="A14" s="8" t="s">
        <v>281</v>
      </c>
      <c r="C14" s="10" t="s">
        <v>219</v>
      </c>
      <c r="E14" s="63" t="n">
        <f aca="false">TimeM!E12</f>
        <v>0</v>
      </c>
      <c r="F14" s="63" t="n">
        <f aca="false">TimeM!F12</f>
        <v>0</v>
      </c>
      <c r="G14" s="63" t="n">
        <f aca="false">TimeM!G12</f>
        <v>0</v>
      </c>
      <c r="H14" s="63" t="n">
        <f aca="false">TimeM!H12</f>
        <v>0</v>
      </c>
      <c r="I14" s="63" t="n">
        <f aca="false">TimeM!I12</f>
        <v>0</v>
      </c>
      <c r="J14" s="63" t="n">
        <f aca="false">TimeM!J12</f>
        <v>0</v>
      </c>
      <c r="K14" s="63" t="n">
        <f aca="false">TimeM!K12</f>
        <v>0</v>
      </c>
      <c r="L14" s="63" t="n">
        <f aca="false">TimeM!L12</f>
        <v>0</v>
      </c>
      <c r="M14" s="63" t="n">
        <f aca="false">TimeM!M12</f>
        <v>0</v>
      </c>
      <c r="N14" s="63" t="n">
        <f aca="false">TimeM!N12</f>
        <v>0</v>
      </c>
      <c r="O14" s="63" t="n">
        <f aca="false">TimeM!O12</f>
        <v>0</v>
      </c>
      <c r="P14" s="63" t="n">
        <f aca="false">TimeM!P12</f>
        <v>1</v>
      </c>
    </row>
    <row r="15" customFormat="false" ht="15" hidden="false" customHeight="true" outlineLevel="0" collapsed="false">
      <c r="A15" s="8" t="s">
        <v>282</v>
      </c>
      <c r="B15" s="17" t="n">
        <f aca="false">Solve!B6</f>
        <v>2921347.86714605</v>
      </c>
      <c r="C15" s="10" t="s">
        <v>29</v>
      </c>
    </row>
    <row r="16" customFormat="false" ht="15" hidden="false" customHeight="true" outlineLevel="0" collapsed="false">
      <c r="A16" s="8" t="s">
        <v>283</v>
      </c>
      <c r="C16" s="10" t="s">
        <v>29</v>
      </c>
      <c r="D16" s="59" t="n">
        <f aca="false">SUM(E16:P16)</f>
        <v>2921348.29348351</v>
      </c>
      <c r="E16" s="64" t="n">
        <f aca="false">$B$15*E13</f>
        <v>2921348.29348351</v>
      </c>
      <c r="F16" s="64" t="n">
        <f aca="false">$B$15*F13</f>
        <v>0</v>
      </c>
      <c r="G16" s="64" t="n">
        <f aca="false">$B$15*G13</f>
        <v>0</v>
      </c>
      <c r="H16" s="64" t="n">
        <f aca="false">$B$15*H13</f>
        <v>0</v>
      </c>
      <c r="I16" s="64" t="n">
        <f aca="false">$B$15*I13</f>
        <v>0</v>
      </c>
      <c r="J16" s="64" t="n">
        <f aca="false">$B$15*J13</f>
        <v>0</v>
      </c>
      <c r="K16" s="64" t="n">
        <f aca="false">$B$15*K13</f>
        <v>0</v>
      </c>
      <c r="L16" s="64" t="n">
        <f aca="false">$B$15*L13</f>
        <v>0</v>
      </c>
      <c r="M16" s="64" t="n">
        <f aca="false">$B$15*M13</f>
        <v>0</v>
      </c>
      <c r="N16" s="64" t="n">
        <f aca="false">$B$15*N13</f>
        <v>0</v>
      </c>
      <c r="O16" s="64" t="n">
        <f aca="false">$B$15*O13</f>
        <v>0</v>
      </c>
      <c r="P16" s="64" t="n">
        <f aca="false">$B$15*P13</f>
        <v>0</v>
      </c>
    </row>
    <row r="18" customFormat="false" ht="15" hidden="false" customHeight="true" outlineLevel="0" collapsed="false">
      <c r="A18" s="57" t="s">
        <v>284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</row>
    <row r="19" customFormat="false" ht="15" hidden="false" customHeight="true" outlineLevel="0" collapsed="false">
      <c r="A19" s="8" t="s">
        <v>285</v>
      </c>
      <c r="C19" s="10" t="s">
        <v>29</v>
      </c>
      <c r="D19" s="59" t="n">
        <f aca="false">SUM(E19:P19)</f>
        <v>30441348.2934835</v>
      </c>
      <c r="E19" s="44" t="n">
        <f aca="false">E12+E16</f>
        <v>7799681.62681685</v>
      </c>
      <c r="F19" s="44" t="n">
        <f aca="false">F12+F16</f>
        <v>2058333.33333333</v>
      </c>
      <c r="G19" s="44" t="n">
        <f aca="false">G12+G16</f>
        <v>2058333.33333333</v>
      </c>
      <c r="H19" s="44" t="n">
        <f aca="false">H12+H16</f>
        <v>2058333.33333333</v>
      </c>
      <c r="I19" s="44" t="n">
        <f aca="false">I12+I16</f>
        <v>2058333.33333333</v>
      </c>
      <c r="J19" s="44" t="n">
        <f aca="false">J12+J16</f>
        <v>2058333.33333333</v>
      </c>
      <c r="K19" s="44" t="n">
        <f aca="false">K12+K16</f>
        <v>2058333.33333333</v>
      </c>
      <c r="L19" s="44" t="n">
        <f aca="false">L12+L16</f>
        <v>2058333.33333333</v>
      </c>
      <c r="M19" s="44" t="n">
        <f aca="false">M12+M16</f>
        <v>2058333.33333333</v>
      </c>
      <c r="N19" s="44" t="n">
        <f aca="false">N12+N16</f>
        <v>2058333.33333333</v>
      </c>
      <c r="O19" s="44" t="n">
        <f aca="false">O12+O16</f>
        <v>2058333.33333333</v>
      </c>
      <c r="P19" s="44" t="n">
        <f aca="false">P12+P16</f>
        <v>2058333.33333333</v>
      </c>
    </row>
    <row r="20" customFormat="false" ht="15" hidden="false" customHeight="true" outlineLevel="0" collapsed="false">
      <c r="A20" s="8" t="s">
        <v>286</v>
      </c>
      <c r="B20" s="44" t="n">
        <f aca="false">B11+B15</f>
        <v>30441347.8671461</v>
      </c>
      <c r="C20" s="10" t="s">
        <v>29</v>
      </c>
    </row>
    <row r="22" customFormat="false" ht="15" hidden="false" customHeight="true" outlineLevel="0" collapsed="false">
      <c r="A22" s="57" t="s">
        <v>287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</row>
    <row r="23" customFormat="false" ht="15" hidden="false" customHeight="true" outlineLevel="0" collapsed="false">
      <c r="A23" s="8" t="s">
        <v>288</v>
      </c>
      <c r="B23" s="64" t="n">
        <f aca="false">(1-B7)*B20</f>
        <v>1522067.3933573</v>
      </c>
      <c r="C23" s="10" t="s">
        <v>29</v>
      </c>
    </row>
    <row r="24" customFormat="false" ht="15" hidden="false" customHeight="true" outlineLevel="0" collapsed="false">
      <c r="A24" s="8" t="s">
        <v>289</v>
      </c>
      <c r="B24" s="64" t="n">
        <f aca="false">B7*B20</f>
        <v>28919280.8788093</v>
      </c>
      <c r="C24" s="10" t="s">
        <v>29</v>
      </c>
    </row>
    <row r="25" customFormat="false" ht="15" hidden="false" customHeight="true" outlineLevel="0" collapsed="false">
      <c r="A25" s="8" t="s">
        <v>290</v>
      </c>
      <c r="C25" s="10" t="s">
        <v>29</v>
      </c>
      <c r="E25" s="64" t="n">
        <f aca="false">E19</f>
        <v>7799681.62681685</v>
      </c>
      <c r="F25" s="64" t="n">
        <f aca="false">E25+F19</f>
        <v>9858014.96015018</v>
      </c>
      <c r="G25" s="64" t="n">
        <f aca="false">F25+G19</f>
        <v>11916348.2934835</v>
      </c>
      <c r="H25" s="64" t="n">
        <f aca="false">G25+H19</f>
        <v>13974681.6268168</v>
      </c>
      <c r="I25" s="64" t="n">
        <f aca="false">H25+I19</f>
        <v>16033014.9601502</v>
      </c>
      <c r="J25" s="64" t="n">
        <f aca="false">I25+J19</f>
        <v>18091348.2934835</v>
      </c>
      <c r="K25" s="64" t="n">
        <f aca="false">J25+K19</f>
        <v>20149681.6268168</v>
      </c>
      <c r="L25" s="64" t="n">
        <f aca="false">K25+L19</f>
        <v>22208014.9601502</v>
      </c>
      <c r="M25" s="64" t="n">
        <f aca="false">L25+M19</f>
        <v>24266348.2934835</v>
      </c>
      <c r="N25" s="64" t="n">
        <f aca="false">M25+N19</f>
        <v>26324681.6268168</v>
      </c>
      <c r="O25" s="64" t="n">
        <f aca="false">N25+O19</f>
        <v>28383014.9601502</v>
      </c>
      <c r="P25" s="64" t="n">
        <f aca="false">O25+P19</f>
        <v>30441348.2934835</v>
      </c>
    </row>
    <row r="26" customFormat="false" ht="15" hidden="false" customHeight="true" outlineLevel="0" collapsed="false">
      <c r="A26" s="8" t="s">
        <v>291</v>
      </c>
      <c r="C26" s="10" t="s">
        <v>29</v>
      </c>
      <c r="E26" s="64" t="n">
        <f aca="false">MIN(E25,$B$23)</f>
        <v>1522067.3933573</v>
      </c>
      <c r="F26" s="64" t="n">
        <f aca="false">MIN(F25,$B$23)</f>
        <v>1522067.41467418</v>
      </c>
      <c r="G26" s="64" t="n">
        <f aca="false">MIN(G25,$B$23)</f>
        <v>1522067.41467418</v>
      </c>
      <c r="H26" s="64" t="n">
        <f aca="false">MIN(H25,$B$23)</f>
        <v>1522067.41467418</v>
      </c>
      <c r="I26" s="64" t="n">
        <f aca="false">MIN(I25,$B$23)</f>
        <v>1522067.41467418</v>
      </c>
      <c r="J26" s="64" t="n">
        <f aca="false">MIN(J25,$B$23)</f>
        <v>1522067.41467418</v>
      </c>
      <c r="K26" s="64" t="n">
        <f aca="false">MIN(K25,$B$23)</f>
        <v>1522067.41467418</v>
      </c>
      <c r="L26" s="64" t="n">
        <f aca="false">MIN(L25,$B$23)</f>
        <v>1522067.41467418</v>
      </c>
      <c r="M26" s="64" t="n">
        <f aca="false">MIN(M25,$B$23)</f>
        <v>1522067.41467418</v>
      </c>
      <c r="N26" s="64" t="n">
        <f aca="false">MIN(N25,$B$23)</f>
        <v>1522067.41467418</v>
      </c>
      <c r="O26" s="64" t="n">
        <f aca="false">MIN(O25,$B$23)</f>
        <v>1522067.41467418</v>
      </c>
      <c r="P26" s="64" t="n">
        <f aca="false">MIN(P25,$B$23)</f>
        <v>1522067.41467418</v>
      </c>
    </row>
    <row r="27" customFormat="false" ht="15" hidden="false" customHeight="true" outlineLevel="0" collapsed="false">
      <c r="A27" s="8" t="s">
        <v>292</v>
      </c>
      <c r="C27" s="10" t="s">
        <v>29</v>
      </c>
      <c r="D27" s="59" t="n">
        <f aca="false">SUM(E27:P27)</f>
        <v>1522067.3933573</v>
      </c>
      <c r="E27" s="64" t="n">
        <f aca="false">E26</f>
        <v>1522067.3933573</v>
      </c>
      <c r="F27" s="64" t="n">
        <f aca="false">F26-E26</f>
        <v>0</v>
      </c>
      <c r="G27" s="64" t="n">
        <f aca="false">G26-F26</f>
        <v>0</v>
      </c>
      <c r="H27" s="64" t="n">
        <f aca="false">H26-G26</f>
        <v>0</v>
      </c>
      <c r="I27" s="64" t="n">
        <f aca="false">I26-H26</f>
        <v>0</v>
      </c>
      <c r="J27" s="64" t="n">
        <f aca="false">J26-I26</f>
        <v>0</v>
      </c>
      <c r="K27" s="64" t="n">
        <f aca="false">K26-J26</f>
        <v>0</v>
      </c>
      <c r="L27" s="64" t="n">
        <f aca="false">L26-K26</f>
        <v>0</v>
      </c>
      <c r="M27" s="64" t="n">
        <f aca="false">M26-L26</f>
        <v>0</v>
      </c>
      <c r="N27" s="64" t="n">
        <f aca="false">N26-M26</f>
        <v>0</v>
      </c>
      <c r="O27" s="64" t="n">
        <f aca="false">O26-N26</f>
        <v>0</v>
      </c>
      <c r="P27" s="64" t="n">
        <f aca="false">P26-O26</f>
        <v>0</v>
      </c>
    </row>
    <row r="28" customFormat="false" ht="15" hidden="false" customHeight="true" outlineLevel="0" collapsed="false">
      <c r="A28" s="8" t="s">
        <v>293</v>
      </c>
      <c r="C28" s="10" t="s">
        <v>29</v>
      </c>
      <c r="D28" s="59" t="n">
        <f aca="false">SUM(E28:P28)</f>
        <v>28919280.9001262</v>
      </c>
      <c r="E28" s="64" t="n">
        <f aca="false">E19-E27</f>
        <v>6277614.23345954</v>
      </c>
      <c r="F28" s="64" t="n">
        <f aca="false">F19-F27</f>
        <v>2058333.33333333</v>
      </c>
      <c r="G28" s="64" t="n">
        <f aca="false">G19-G27</f>
        <v>2058333.33333333</v>
      </c>
      <c r="H28" s="64" t="n">
        <f aca="false">H19-H27</f>
        <v>2058333.33333333</v>
      </c>
      <c r="I28" s="64" t="n">
        <f aca="false">I19-I27</f>
        <v>2058333.33333333</v>
      </c>
      <c r="J28" s="64" t="n">
        <f aca="false">J19-J27</f>
        <v>2058333.33333333</v>
      </c>
      <c r="K28" s="64" t="n">
        <f aca="false">K19-K27</f>
        <v>2058333.33333333</v>
      </c>
      <c r="L28" s="64" t="n">
        <f aca="false">L19-L27</f>
        <v>2058333.33333333</v>
      </c>
      <c r="M28" s="64" t="n">
        <f aca="false">M19-M27</f>
        <v>2058333.33333333</v>
      </c>
      <c r="N28" s="64" t="n">
        <f aca="false">N19-N27</f>
        <v>2058333.33333333</v>
      </c>
      <c r="O28" s="64" t="n">
        <f aca="false">O19-O27</f>
        <v>2058333.33333333</v>
      </c>
      <c r="P28" s="64" t="n">
        <f aca="false">P19-P27</f>
        <v>2058333.33333333</v>
      </c>
    </row>
    <row r="29" customFormat="false" ht="15" hidden="false" customHeight="true" outlineLevel="0" collapsed="false">
      <c r="A29" s="8" t="s">
        <v>294</v>
      </c>
      <c r="C29" s="10" t="s">
        <v>29</v>
      </c>
      <c r="E29" s="64" t="n">
        <f aca="false">E28</f>
        <v>6277614.23345954</v>
      </c>
      <c r="F29" s="64" t="n">
        <f aca="false">E29+F28</f>
        <v>8335947.545476</v>
      </c>
      <c r="G29" s="64" t="n">
        <f aca="false">F29+G28</f>
        <v>10394280.8788093</v>
      </c>
      <c r="H29" s="64" t="n">
        <f aca="false">G29+H28</f>
        <v>12452614.2121427</v>
      </c>
      <c r="I29" s="64" t="n">
        <f aca="false">H29+I28</f>
        <v>14510947.545476</v>
      </c>
      <c r="J29" s="64" t="n">
        <f aca="false">I29+J28</f>
        <v>16569280.8788093</v>
      </c>
      <c r="K29" s="64" t="n">
        <f aca="false">J29+K28</f>
        <v>18627614.2121427</v>
      </c>
      <c r="L29" s="64" t="n">
        <f aca="false">K29+L28</f>
        <v>20685947.545476</v>
      </c>
      <c r="M29" s="64" t="n">
        <f aca="false">L29+M28</f>
        <v>22744280.8788093</v>
      </c>
      <c r="N29" s="64" t="n">
        <f aca="false">M29+N28</f>
        <v>24802614.2121427</v>
      </c>
      <c r="O29" s="64" t="n">
        <f aca="false">N29+O28</f>
        <v>26860947.545476</v>
      </c>
      <c r="P29" s="64" t="n">
        <f aca="false">O29+P28</f>
        <v>28919280.8788093</v>
      </c>
    </row>
    <row r="30" customFormat="false" ht="15" hidden="false" customHeight="true" outlineLevel="0" collapsed="false">
      <c r="A30" s="8" t="s">
        <v>295</v>
      </c>
      <c r="C30" s="10" t="s">
        <v>29</v>
      </c>
      <c r="E30" s="64" t="n">
        <f aca="false">$B$24-E29/2</f>
        <v>25780473.772738</v>
      </c>
      <c r="F30" s="64" t="n">
        <f aca="false">$B$24-(E29+F29)/2</f>
        <v>21612500</v>
      </c>
      <c r="G30" s="64" t="n">
        <f aca="false">$B$24-(F29+G29)/2</f>
        <v>19554166.6666667</v>
      </c>
      <c r="H30" s="64" t="n">
        <f aca="false">$B$24-(G29+H29)/2</f>
        <v>17495833.3333333</v>
      </c>
      <c r="I30" s="64" t="n">
        <f aca="false">$B$24-(H29+I29)/2</f>
        <v>15437500</v>
      </c>
      <c r="J30" s="64" t="n">
        <f aca="false">$B$24-(I29+J29)/2</f>
        <v>13379166.6666667</v>
      </c>
      <c r="K30" s="64" t="n">
        <f aca="false">$B$24-(J29+K29)/2</f>
        <v>11320833.3333333</v>
      </c>
      <c r="L30" s="64" t="n">
        <f aca="false">$B$24-(K29+L29)/2</f>
        <v>9262500</v>
      </c>
      <c r="M30" s="64" t="n">
        <f aca="false">$B$24-(L29+M29)/2</f>
        <v>7204166.66666666</v>
      </c>
      <c r="N30" s="64" t="n">
        <f aca="false">$B$24-(M29+N29)/2</f>
        <v>5145833.33333334</v>
      </c>
      <c r="O30" s="64" t="n">
        <f aca="false">$B$24-(N29+O29)/2</f>
        <v>3087500</v>
      </c>
      <c r="P30" s="64" t="n">
        <f aca="false">$B$24-(O29+P29)/2</f>
        <v>1029166.66666667</v>
      </c>
    </row>
    <row r="31" customFormat="false" ht="15" hidden="false" customHeight="true" outlineLevel="0" collapsed="false">
      <c r="A31" s="8" t="s">
        <v>296</v>
      </c>
      <c r="C31" s="10" t="s">
        <v>29</v>
      </c>
      <c r="E31" s="64" t="n">
        <f aca="false">E29/2</f>
        <v>3138807.11672977</v>
      </c>
      <c r="F31" s="64" t="n">
        <f aca="false">(E29+F29)/2</f>
        <v>7306780.87880934</v>
      </c>
      <c r="G31" s="64" t="n">
        <f aca="false">(F29+G29)/2</f>
        <v>9365114.21214267</v>
      </c>
      <c r="H31" s="64" t="n">
        <f aca="false">(G29+H29)/2</f>
        <v>11423447.545476</v>
      </c>
      <c r="I31" s="64" t="n">
        <f aca="false">(H29+I29)/2</f>
        <v>13481780.8788093</v>
      </c>
      <c r="J31" s="64" t="n">
        <f aca="false">(I29+J29)/2</f>
        <v>15540114.2121427</v>
      </c>
      <c r="K31" s="64" t="n">
        <f aca="false">(J29+K29)/2</f>
        <v>17598447.545476</v>
      </c>
      <c r="L31" s="64" t="n">
        <f aca="false">(K29+L29)/2</f>
        <v>19656780.8788093</v>
      </c>
      <c r="M31" s="64" t="n">
        <f aca="false">(L29+M29)/2</f>
        <v>21715114.2121427</v>
      </c>
      <c r="N31" s="64" t="n">
        <f aca="false">(M29+N29)/2</f>
        <v>23773447.545476</v>
      </c>
      <c r="O31" s="64" t="n">
        <f aca="false">(N29+O29)/2</f>
        <v>25831780.8788093</v>
      </c>
      <c r="P31" s="64" t="n">
        <f aca="false">(O29+P29)/2</f>
        <v>27890114.2121427</v>
      </c>
    </row>
    <row r="33" customFormat="false" ht="15" hidden="false" customHeight="true" outlineLevel="0" collapsed="false">
      <c r="A33" s="57" t="s">
        <v>297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</row>
    <row r="34" customFormat="false" ht="15" hidden="false" customHeight="true" outlineLevel="0" collapsed="false">
      <c r="A34" s="8" t="s">
        <v>298</v>
      </c>
      <c r="C34" s="10" t="s">
        <v>29</v>
      </c>
      <c r="D34" s="59" t="n">
        <f aca="false">SUM(E34:P34)</f>
        <v>327869.550194942</v>
      </c>
      <c r="E34" s="64" t="n">
        <f aca="false">E31*$B$8/12</f>
        <v>5231.34519454888</v>
      </c>
      <c r="F34" s="64" t="n">
        <f aca="false">F31*$B$8/12</f>
        <v>12177.9681313489</v>
      </c>
      <c r="G34" s="64" t="n">
        <f aca="false">G31*$B$8/12</f>
        <v>15608.5236869044</v>
      </c>
      <c r="H34" s="64" t="n">
        <f aca="false">H31*$B$8/12</f>
        <v>19039.07924246</v>
      </c>
      <c r="I34" s="64" t="n">
        <f aca="false">I31*$B$8/12</f>
        <v>22469.6347980156</v>
      </c>
      <c r="J34" s="64" t="n">
        <f aca="false">J31*$B$8/12</f>
        <v>25900.1903535711</v>
      </c>
      <c r="K34" s="64" t="n">
        <f aca="false">K31*$B$8/12</f>
        <v>29330.7459091267</v>
      </c>
      <c r="L34" s="64" t="n">
        <f aca="false">L31*$B$8/12</f>
        <v>32761.3014646822</v>
      </c>
      <c r="M34" s="64" t="n">
        <f aca="false">M31*$B$8/12</f>
        <v>36191.8570202378</v>
      </c>
      <c r="N34" s="64" t="n">
        <f aca="false">N31*$B$8/12</f>
        <v>39622.4125757933</v>
      </c>
      <c r="O34" s="64" t="n">
        <f aca="false">O31*$B$8/12</f>
        <v>43052.9681313489</v>
      </c>
      <c r="P34" s="64" t="n">
        <f aca="false">P31*$B$8/12</f>
        <v>46483.5236869044</v>
      </c>
    </row>
    <row r="35" customFormat="false" ht="15" hidden="false" customHeight="true" outlineLevel="0" collapsed="false">
      <c r="A35" s="8" t="s">
        <v>299</v>
      </c>
      <c r="C35" s="10" t="s">
        <v>29</v>
      </c>
      <c r="D35" s="59" t="n">
        <f aca="false">SUM(E35:P35)</f>
        <v>62629.0168497519</v>
      </c>
      <c r="E35" s="64" t="n">
        <f aca="false">E30*$B$9/12</f>
        <v>10741.8640719742</v>
      </c>
      <c r="F35" s="64" t="n">
        <f aca="false">F30*$B$9/12</f>
        <v>9005.20833333333</v>
      </c>
      <c r="G35" s="64" t="n">
        <f aca="false">G30*$B$9/12</f>
        <v>8147.56944444444</v>
      </c>
      <c r="H35" s="64" t="n">
        <f aca="false">H30*$B$9/12</f>
        <v>7289.93055555556</v>
      </c>
      <c r="I35" s="64" t="n">
        <f aca="false">I30*$B$9/12</f>
        <v>6432.29166666667</v>
      </c>
      <c r="J35" s="64" t="n">
        <f aca="false">J30*$B$9/12</f>
        <v>5574.65277777778</v>
      </c>
      <c r="K35" s="64" t="n">
        <f aca="false">K30*$B$9/12</f>
        <v>4717.01388888889</v>
      </c>
      <c r="L35" s="64" t="n">
        <f aca="false">L30*$B$9/12</f>
        <v>3859.375</v>
      </c>
      <c r="M35" s="64" t="n">
        <f aca="false">M30*$B$9/12</f>
        <v>3001.73611111111</v>
      </c>
      <c r="N35" s="64" t="n">
        <f aca="false">N30*$B$9/12</f>
        <v>2144.09722222222</v>
      </c>
      <c r="O35" s="64" t="n">
        <f aca="false">O30*$B$9/12</f>
        <v>1286.45833333333</v>
      </c>
      <c r="P35" s="64" t="n">
        <f aca="false">P30*$B$9/12</f>
        <v>428.819444444447</v>
      </c>
    </row>
    <row r="36" customFormat="false" ht="15" hidden="false" customHeight="true" outlineLevel="0" collapsed="false">
      <c r="A36" s="8" t="s">
        <v>300</v>
      </c>
      <c r="C36" s="10" t="s">
        <v>29</v>
      </c>
      <c r="D36" s="59" t="n">
        <f aca="false">SUM(E36:P36)</f>
        <v>289192.808788093</v>
      </c>
      <c r="E36" s="64" t="n">
        <f aca="false">$B$24*$B$10*E13</f>
        <v>289192.808788093</v>
      </c>
      <c r="F36" s="64" t="n">
        <f aca="false">$B$24*$B$10*F13</f>
        <v>0</v>
      </c>
      <c r="G36" s="64" t="n">
        <f aca="false">$B$24*$B$10*G13</f>
        <v>0</v>
      </c>
      <c r="H36" s="64" t="n">
        <f aca="false">$B$24*$B$10*H13</f>
        <v>0</v>
      </c>
      <c r="I36" s="64" t="n">
        <f aca="false">$B$24*$B$10*I13</f>
        <v>0</v>
      </c>
      <c r="J36" s="64" t="n">
        <f aca="false">$B$24*$B$10*J13</f>
        <v>0</v>
      </c>
      <c r="K36" s="64" t="n">
        <f aca="false">$B$24*$B$10*K13</f>
        <v>0</v>
      </c>
      <c r="L36" s="64" t="n">
        <f aca="false">$B$24*$B$10*L13</f>
        <v>0</v>
      </c>
      <c r="M36" s="64" t="n">
        <f aca="false">$B$24*$B$10*M13</f>
        <v>0</v>
      </c>
      <c r="N36" s="64" t="n">
        <f aca="false">$B$24*$B$10*N13</f>
        <v>0</v>
      </c>
      <c r="O36" s="64" t="n">
        <f aca="false">$B$24*$B$10*O13</f>
        <v>0</v>
      </c>
      <c r="P36" s="64" t="n">
        <f aca="false">$B$24*$B$10*P13</f>
        <v>0</v>
      </c>
    </row>
    <row r="37" customFormat="false" ht="15" hidden="false" customHeight="true" outlineLevel="0" collapsed="false">
      <c r="A37" s="8" t="s">
        <v>301</v>
      </c>
      <c r="C37" s="10" t="s">
        <v>29</v>
      </c>
      <c r="D37" s="59" t="n">
        <f aca="false">SUM(E37:P37)</f>
        <v>679691.375832788</v>
      </c>
      <c r="E37" s="44" t="n">
        <f aca="false">SUM(E34:E36)</f>
        <v>305166.018054616</v>
      </c>
      <c r="F37" s="44" t="n">
        <f aca="false">SUM(F34:F36)</f>
        <v>21183.1764646822</v>
      </c>
      <c r="G37" s="44" t="n">
        <f aca="false">SUM(G34:G36)</f>
        <v>23756.0931313489</v>
      </c>
      <c r="H37" s="44" t="n">
        <f aca="false">SUM(H34:H36)</f>
        <v>26329.0097980156</v>
      </c>
      <c r="I37" s="44" t="n">
        <f aca="false">SUM(I34:I36)</f>
        <v>28901.9264646822</v>
      </c>
      <c r="J37" s="44" t="n">
        <f aca="false">SUM(J34:J36)</f>
        <v>31474.8431313489</v>
      </c>
      <c r="K37" s="44" t="n">
        <f aca="false">SUM(K34:K36)</f>
        <v>34047.7597980156</v>
      </c>
      <c r="L37" s="44" t="n">
        <f aca="false">SUM(L34:L36)</f>
        <v>36620.6764646822</v>
      </c>
      <c r="M37" s="44" t="n">
        <f aca="false">SUM(M34:M36)</f>
        <v>39193.5931313489</v>
      </c>
      <c r="N37" s="44" t="n">
        <f aca="false">SUM(N34:N36)</f>
        <v>41766.5097980156</v>
      </c>
      <c r="O37" s="44" t="n">
        <f aca="false">SUM(O34:O36)</f>
        <v>44339.4264646822</v>
      </c>
      <c r="P37" s="44" t="n">
        <f aca="false">SUM(P34:P36)</f>
        <v>46912.3431313489</v>
      </c>
    </row>
    <row r="39" customFormat="false" ht="15" hidden="false" customHeight="true" outlineLevel="0" collapsed="false">
      <c r="A39" s="57" t="s">
        <v>302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</row>
    <row r="40" customFormat="false" ht="15" hidden="false" customHeight="true" outlineLevel="0" collapsed="false">
      <c r="A40" s="8" t="s">
        <v>303</v>
      </c>
      <c r="C40" s="10" t="s">
        <v>29</v>
      </c>
      <c r="D40" s="59" t="n">
        <f aca="false">SUM(E40:P40)</f>
        <v>1522067.3933573</v>
      </c>
      <c r="E40" s="64" t="n">
        <f aca="false">E27</f>
        <v>1522067.3933573</v>
      </c>
      <c r="F40" s="64" t="n">
        <f aca="false">F27</f>
        <v>0</v>
      </c>
      <c r="G40" s="64" t="n">
        <f aca="false">G27</f>
        <v>0</v>
      </c>
      <c r="H40" s="64" t="n">
        <f aca="false">H27</f>
        <v>0</v>
      </c>
      <c r="I40" s="64" t="n">
        <f aca="false">I27</f>
        <v>0</v>
      </c>
      <c r="J40" s="64" t="n">
        <f aca="false">J27</f>
        <v>0</v>
      </c>
      <c r="K40" s="64" t="n">
        <f aca="false">K27</f>
        <v>0</v>
      </c>
      <c r="L40" s="64" t="n">
        <f aca="false">L27</f>
        <v>0</v>
      </c>
      <c r="M40" s="64" t="n">
        <f aca="false">M27</f>
        <v>0</v>
      </c>
      <c r="N40" s="64" t="n">
        <f aca="false">N27</f>
        <v>0</v>
      </c>
      <c r="O40" s="64" t="n">
        <f aca="false">O27</f>
        <v>0</v>
      </c>
      <c r="P40" s="64" t="n">
        <f aca="false">P27</f>
        <v>0</v>
      </c>
    </row>
    <row r="41" customFormat="false" ht="15" hidden="false" customHeight="true" outlineLevel="0" collapsed="false">
      <c r="A41" s="8" t="s">
        <v>304</v>
      </c>
      <c r="C41" s="10" t="s">
        <v>29</v>
      </c>
      <c r="D41" s="59" t="n">
        <f aca="false">SUM(E41:P41)</f>
        <v>29598972.2546421</v>
      </c>
      <c r="E41" s="64" t="n">
        <f aca="false">(E29+SUM($E$37:E37))*E14</f>
        <v>0</v>
      </c>
      <c r="F41" s="64" t="n">
        <f aca="false">(F29+SUM($E$37:F37))*F14</f>
        <v>0</v>
      </c>
      <c r="G41" s="64" t="n">
        <f aca="false">(G29+SUM($E$37:G37))*G14</f>
        <v>0</v>
      </c>
      <c r="H41" s="64" t="n">
        <f aca="false">(H29+SUM($E$37:H37))*H14</f>
        <v>0</v>
      </c>
      <c r="I41" s="64" t="n">
        <f aca="false">(I29+SUM($E$37:I37))*I14</f>
        <v>0</v>
      </c>
      <c r="J41" s="64" t="n">
        <f aca="false">(J29+SUM($E$37:J37))*J14</f>
        <v>0</v>
      </c>
      <c r="K41" s="64" t="n">
        <f aca="false">(K29+SUM($E$37:K37))*K14</f>
        <v>0</v>
      </c>
      <c r="L41" s="64" t="n">
        <f aca="false">(L29+SUM($E$37:L37))*L14</f>
        <v>0</v>
      </c>
      <c r="M41" s="64" t="n">
        <f aca="false">(M29+SUM($E$37:M37))*M14</f>
        <v>0</v>
      </c>
      <c r="N41" s="64" t="n">
        <f aca="false">(N29+SUM($E$37:N37))*N14</f>
        <v>0</v>
      </c>
      <c r="O41" s="64" t="n">
        <f aca="false">(O29+SUM($E$37:O37))*O14</f>
        <v>0</v>
      </c>
      <c r="P41" s="64" t="n">
        <f aca="false">(P29+SUM($E$37:P37))*P14</f>
        <v>29598972.2546421</v>
      </c>
    </row>
    <row r="42" customFormat="false" ht="15" hidden="false" customHeight="true" outlineLevel="0" collapsed="false">
      <c r="A42" s="8" t="s">
        <v>305</v>
      </c>
      <c r="C42" s="10" t="s">
        <v>29</v>
      </c>
      <c r="D42" s="59" t="n">
        <f aca="false">SUM(E42:P42)</f>
        <v>31121039.6479994</v>
      </c>
      <c r="E42" s="44" t="n">
        <f aca="false">E40+E41</f>
        <v>1522067.3933573</v>
      </c>
      <c r="F42" s="44" t="n">
        <f aca="false">F40+F41</f>
        <v>0</v>
      </c>
      <c r="G42" s="44" t="n">
        <f aca="false">G40+G41</f>
        <v>0</v>
      </c>
      <c r="H42" s="44" t="n">
        <f aca="false">H40+H41</f>
        <v>0</v>
      </c>
      <c r="I42" s="44" t="n">
        <f aca="false">I40+I41</f>
        <v>0</v>
      </c>
      <c r="J42" s="44" t="n">
        <f aca="false">J40+J41</f>
        <v>0</v>
      </c>
      <c r="K42" s="44" t="n">
        <f aca="false">K40+K41</f>
        <v>0</v>
      </c>
      <c r="L42" s="44" t="n">
        <f aca="false">L40+L41</f>
        <v>0</v>
      </c>
      <c r="M42" s="44" t="n">
        <f aca="false">M40+M41</f>
        <v>0</v>
      </c>
      <c r="N42" s="44" t="n">
        <f aca="false">N40+N41</f>
        <v>0</v>
      </c>
      <c r="O42" s="44" t="n">
        <f aca="false">O40+O41</f>
        <v>0</v>
      </c>
      <c r="P42" s="44" t="n">
        <f aca="false">P40+P41</f>
        <v>29598972.2546421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50"/>
    <col collapsed="false" customWidth="true" hidden="false" outlineLevel="0" max="2" min="2" style="1" width="18"/>
    <col collapsed="false" customWidth="true" hidden="false" outlineLevel="0" max="3" min="3" style="1" width="12"/>
    <col collapsed="false" customWidth="true" hidden="false" outlineLevel="0" max="4" min="4" style="1" width="18"/>
  </cols>
  <sheetData>
    <row r="1" customFormat="false" ht="17.25" hidden="false" customHeight="true" outlineLevel="0" collapsed="false">
      <c r="A1" s="25" t="s">
        <v>306</v>
      </c>
      <c r="B1" s="3"/>
      <c r="C1" s="3"/>
      <c r="D1" s="3"/>
      <c r="E1" s="3"/>
    </row>
    <row r="3" customFormat="false" ht="15" hidden="false" customHeight="true" outlineLevel="0" collapsed="false">
      <c r="A3" s="47" t="s">
        <v>179</v>
      </c>
      <c r="B3" s="47" t="s">
        <v>307</v>
      </c>
      <c r="C3" s="47" t="s">
        <v>91</v>
      </c>
      <c r="D3" s="47" t="s">
        <v>308</v>
      </c>
    </row>
    <row r="4" customFormat="false" ht="15" hidden="false" customHeight="true" outlineLevel="0" collapsed="false">
      <c r="A4" s="57" t="s">
        <v>309</v>
      </c>
      <c r="B4" s="58"/>
      <c r="C4" s="58"/>
      <c r="D4" s="58"/>
    </row>
    <row r="5" customFormat="false" ht="15" hidden="false" customHeight="true" outlineLevel="0" collapsed="false">
      <c r="A5" s="8" t="s">
        <v>310</v>
      </c>
      <c r="B5" s="17" t="n">
        <f aca="false">ConCost!B23</f>
        <v>22100000</v>
      </c>
      <c r="C5" s="51" t="s">
        <v>29</v>
      </c>
      <c r="D5" s="65" t="n">
        <f aca="false">B5/$B$13</f>
        <v>0.710130527051276</v>
      </c>
    </row>
    <row r="6" customFormat="false" ht="15" hidden="false" customHeight="true" outlineLevel="0" collapsed="false">
      <c r="A6" s="8" t="s">
        <v>141</v>
      </c>
      <c r="B6" s="17" t="n">
        <f aca="false">ConCost!B24</f>
        <v>2600000</v>
      </c>
      <c r="C6" s="51" t="s">
        <v>29</v>
      </c>
      <c r="D6" s="65" t="n">
        <f aca="false">B6/$B$13</f>
        <v>0.0835447678883854</v>
      </c>
    </row>
    <row r="7" customFormat="false" ht="15" hidden="false" customHeight="true" outlineLevel="0" collapsed="false">
      <c r="A7" s="8" t="s">
        <v>34</v>
      </c>
      <c r="B7" s="17" t="n">
        <f aca="false">ConCost!B25</f>
        <v>1820000</v>
      </c>
      <c r="C7" s="51" t="s">
        <v>29</v>
      </c>
      <c r="D7" s="65" t="n">
        <f aca="false">B7/$B$13</f>
        <v>0.0584813375218698</v>
      </c>
    </row>
    <row r="8" customFormat="false" ht="15" hidden="false" customHeight="true" outlineLevel="0" collapsed="false">
      <c r="A8" s="8" t="s">
        <v>36</v>
      </c>
      <c r="B8" s="17" t="n">
        <f aca="false">ConCost!B26</f>
        <v>1000000</v>
      </c>
      <c r="C8" s="51" t="s">
        <v>29</v>
      </c>
      <c r="D8" s="65" t="n">
        <f aca="false">B8/$B$13</f>
        <v>0.0321326030339944</v>
      </c>
    </row>
    <row r="9" customFormat="false" ht="15" hidden="false" customHeight="true" outlineLevel="0" collapsed="false">
      <c r="A9" s="8" t="s">
        <v>40</v>
      </c>
      <c r="B9" s="17" t="n">
        <f aca="false">ConFin!B15</f>
        <v>2921347.86714605</v>
      </c>
      <c r="C9" s="51" t="s">
        <v>29</v>
      </c>
      <c r="D9" s="65" t="n">
        <f aca="false">B9/$B$13</f>
        <v>0.0938705113392102</v>
      </c>
    </row>
    <row r="10" customFormat="false" ht="15" hidden="false" customHeight="true" outlineLevel="0" collapsed="false">
      <c r="A10" s="8" t="s">
        <v>311</v>
      </c>
      <c r="B10" s="17" t="n">
        <f aca="false">SUM(ConFin!E34:P34)</f>
        <v>327869.550194942</v>
      </c>
      <c r="C10" s="51" t="s">
        <v>29</v>
      </c>
      <c r="D10" s="65" t="n">
        <f aca="false">B10/$B$13</f>
        <v>0.0105353021033484</v>
      </c>
    </row>
    <row r="11" customFormat="false" ht="15" hidden="false" customHeight="true" outlineLevel="0" collapsed="false">
      <c r="A11" s="8" t="s">
        <v>159</v>
      </c>
      <c r="B11" s="17" t="n">
        <f aca="false">SUM(ConFin!E35:P35)</f>
        <v>62629.0168497519</v>
      </c>
      <c r="C11" s="51" t="s">
        <v>29</v>
      </c>
      <c r="D11" s="65" t="n">
        <f aca="false">B11/$B$13</f>
        <v>0.00201243333684242</v>
      </c>
    </row>
    <row r="12" customFormat="false" ht="15" hidden="false" customHeight="true" outlineLevel="0" collapsed="false">
      <c r="A12" s="8" t="s">
        <v>25</v>
      </c>
      <c r="B12" s="17" t="n">
        <f aca="false">SUM(ConFin!E36:P36)</f>
        <v>289192.808788093</v>
      </c>
      <c r="C12" s="51" t="s">
        <v>29</v>
      </c>
      <c r="D12" s="65" t="n">
        <f aca="false">B12/$B$13</f>
        <v>0.00929251772507365</v>
      </c>
    </row>
    <row r="13" customFormat="false" ht="15" hidden="false" customHeight="true" outlineLevel="0" collapsed="false">
      <c r="A13" s="66" t="s">
        <v>312</v>
      </c>
      <c r="B13" s="48" t="n">
        <f aca="false">SUM(B5:B12)</f>
        <v>31121039.2429788</v>
      </c>
      <c r="C13" s="15" t="s">
        <v>29</v>
      </c>
      <c r="D13" s="67" t="n">
        <f aca="false">B13/B13</f>
        <v>1</v>
      </c>
    </row>
    <row r="15" customFormat="false" ht="15" hidden="false" customHeight="true" outlineLevel="0" collapsed="false">
      <c r="A15" s="57" t="s">
        <v>313</v>
      </c>
      <c r="B15" s="58"/>
      <c r="C15" s="58"/>
      <c r="D15" s="58"/>
    </row>
    <row r="16" customFormat="false" ht="15" hidden="false" customHeight="true" outlineLevel="0" collapsed="false">
      <c r="A16" s="8" t="s">
        <v>314</v>
      </c>
      <c r="B16" s="17" t="n">
        <f aca="false">SUM(ConFin!E42:P42)</f>
        <v>31121039.6479994</v>
      </c>
      <c r="C16" s="51" t="s">
        <v>29</v>
      </c>
      <c r="D16" s="65" t="n">
        <f aca="false">B16/$B$19</f>
        <v>1</v>
      </c>
    </row>
    <row r="17" customFormat="false" ht="15" hidden="false" customHeight="true" outlineLevel="0" collapsed="false">
      <c r="A17" s="8" t="s">
        <v>315</v>
      </c>
      <c r="B17" s="17" t="n">
        <v>0</v>
      </c>
      <c r="C17" s="51" t="s">
        <v>29</v>
      </c>
      <c r="D17" s="65" t="n">
        <f aca="false">B17/$B$19</f>
        <v>0</v>
      </c>
    </row>
    <row r="19" customFormat="false" ht="15" hidden="false" customHeight="true" outlineLevel="0" collapsed="false">
      <c r="A19" s="66" t="s">
        <v>316</v>
      </c>
      <c r="B19" s="48" t="n">
        <f aca="false">SUM(B16:B17)</f>
        <v>31121039.6479994</v>
      </c>
      <c r="C19" s="15" t="s">
        <v>29</v>
      </c>
      <c r="D19" s="67" t="n">
        <f aca="false">B19/B19</f>
        <v>1</v>
      </c>
    </row>
    <row r="21" customFormat="false" ht="15" hidden="false" customHeight="true" outlineLevel="0" collapsed="false">
      <c r="A21" s="4" t="s">
        <v>317</v>
      </c>
      <c r="B21" s="48" t="n">
        <f aca="false">B19-B13</f>
        <v>0.405020583420992</v>
      </c>
      <c r="C21" s="51" t="s">
        <v>29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5" topLeftCell="E6" activePane="bottomRight" state="frozen"/>
      <selection pane="topLeft" activeCell="A1" activeCellId="0" sqref="A1"/>
      <selection pane="topRight" activeCell="E1" activeCellId="0" sqref="E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42"/>
    <col collapsed="false" customWidth="true" hidden="false" outlineLevel="0" max="2" min="2" style="1" width="14"/>
    <col collapsed="false" customWidth="true" hidden="false" outlineLevel="0" max="3" min="3" style="1" width="12"/>
    <col collapsed="false" customWidth="true" hidden="false" outlineLevel="0" max="4" min="4" style="1" width="14"/>
    <col collapsed="false" customWidth="true" hidden="false" outlineLevel="0" max="39" min="5" style="1" width="12"/>
  </cols>
  <sheetData>
    <row r="1" customFormat="false" ht="15" hidden="false" customHeight="true" outlineLevel="0" collapsed="false">
      <c r="A1" s="52" t="s">
        <v>318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customFormat="false" ht="15" hidden="false" customHeight="true" outlineLevel="0" collapsed="false">
      <c r="A2" s="4" t="s">
        <v>205</v>
      </c>
      <c r="C2" s="8" t="s">
        <v>206</v>
      </c>
      <c r="E2" s="53" t="n">
        <v>46023</v>
      </c>
      <c r="F2" s="53" t="n">
        <v>46388</v>
      </c>
      <c r="G2" s="53" t="n">
        <v>46753</v>
      </c>
      <c r="H2" s="53" t="n">
        <v>47119</v>
      </c>
      <c r="I2" s="53" t="n">
        <v>47484</v>
      </c>
      <c r="J2" s="53" t="n">
        <v>47849</v>
      </c>
      <c r="K2" s="53" t="n">
        <v>48214</v>
      </c>
      <c r="L2" s="53" t="n">
        <v>48580</v>
      </c>
      <c r="M2" s="53" t="n">
        <v>48945</v>
      </c>
      <c r="N2" s="53" t="n">
        <v>49310</v>
      </c>
      <c r="O2" s="53" t="n">
        <v>49675</v>
      </c>
      <c r="P2" s="53" t="n">
        <v>50041</v>
      </c>
      <c r="Q2" s="53" t="n">
        <v>50406</v>
      </c>
      <c r="R2" s="53" t="n">
        <v>50771</v>
      </c>
      <c r="S2" s="53" t="n">
        <v>51136</v>
      </c>
      <c r="T2" s="53" t="n">
        <v>51502</v>
      </c>
      <c r="U2" s="53" t="n">
        <v>51867</v>
      </c>
      <c r="V2" s="53" t="n">
        <v>52232</v>
      </c>
      <c r="W2" s="53" t="n">
        <v>52597</v>
      </c>
      <c r="X2" s="53" t="n">
        <v>52963</v>
      </c>
      <c r="Y2" s="53" t="n">
        <v>53328</v>
      </c>
      <c r="Z2" s="53" t="n">
        <v>53693</v>
      </c>
      <c r="AA2" s="53" t="n">
        <v>54058</v>
      </c>
      <c r="AB2" s="53" t="n">
        <v>54424</v>
      </c>
      <c r="AC2" s="53" t="n">
        <v>54789</v>
      </c>
      <c r="AD2" s="53" t="n">
        <v>55154</v>
      </c>
      <c r="AE2" s="53" t="n">
        <v>55519</v>
      </c>
      <c r="AF2" s="53" t="n">
        <v>55885</v>
      </c>
      <c r="AG2" s="53" t="n">
        <v>56250</v>
      </c>
      <c r="AH2" s="53" t="n">
        <v>56615</v>
      </c>
      <c r="AI2" s="53" t="n">
        <v>56980</v>
      </c>
      <c r="AJ2" s="53" t="n">
        <v>57346</v>
      </c>
      <c r="AK2" s="53" t="n">
        <v>57711</v>
      </c>
      <c r="AL2" s="53" t="n">
        <v>58076</v>
      </c>
      <c r="AM2" s="53" t="n">
        <v>58441</v>
      </c>
    </row>
    <row r="3" customFormat="false" ht="15" hidden="false" customHeight="true" outlineLevel="0" collapsed="false">
      <c r="A3" s="4" t="s">
        <v>207</v>
      </c>
      <c r="C3" s="8" t="s">
        <v>206</v>
      </c>
      <c r="E3" s="53" t="n">
        <v>46387</v>
      </c>
      <c r="F3" s="53" t="n">
        <v>46752</v>
      </c>
      <c r="G3" s="53" t="n">
        <v>47118</v>
      </c>
      <c r="H3" s="53" t="n">
        <v>47483</v>
      </c>
      <c r="I3" s="53" t="n">
        <v>47848</v>
      </c>
      <c r="J3" s="53" t="n">
        <v>48213</v>
      </c>
      <c r="K3" s="53" t="n">
        <v>48579</v>
      </c>
      <c r="L3" s="53" t="n">
        <v>48944</v>
      </c>
      <c r="M3" s="53" t="n">
        <v>49309</v>
      </c>
      <c r="N3" s="53" t="n">
        <v>49674</v>
      </c>
      <c r="O3" s="53" t="n">
        <v>50040</v>
      </c>
      <c r="P3" s="53" t="n">
        <v>50405</v>
      </c>
      <c r="Q3" s="53" t="n">
        <v>50770</v>
      </c>
      <c r="R3" s="53" t="n">
        <v>51135</v>
      </c>
      <c r="S3" s="53" t="n">
        <v>51501</v>
      </c>
      <c r="T3" s="53" t="n">
        <v>51866</v>
      </c>
      <c r="U3" s="53" t="n">
        <v>52231</v>
      </c>
      <c r="V3" s="53" t="n">
        <v>52596</v>
      </c>
      <c r="W3" s="53" t="n">
        <v>52962</v>
      </c>
      <c r="X3" s="53" t="n">
        <v>53327</v>
      </c>
      <c r="Y3" s="53" t="n">
        <v>53692</v>
      </c>
      <c r="Z3" s="53" t="n">
        <v>54057</v>
      </c>
      <c r="AA3" s="53" t="n">
        <v>54423</v>
      </c>
      <c r="AB3" s="53" t="n">
        <v>54788</v>
      </c>
      <c r="AC3" s="53" t="n">
        <v>55153</v>
      </c>
      <c r="AD3" s="53" t="n">
        <v>55518</v>
      </c>
      <c r="AE3" s="53" t="n">
        <v>55884</v>
      </c>
      <c r="AF3" s="53" t="n">
        <v>56249</v>
      </c>
      <c r="AG3" s="53" t="n">
        <v>56614</v>
      </c>
      <c r="AH3" s="53" t="n">
        <v>56979</v>
      </c>
      <c r="AI3" s="53" t="n">
        <v>57345</v>
      </c>
      <c r="AJ3" s="53" t="n">
        <v>57710</v>
      </c>
      <c r="AK3" s="53" t="n">
        <v>58075</v>
      </c>
      <c r="AL3" s="53" t="n">
        <v>58440</v>
      </c>
      <c r="AM3" s="53" t="n">
        <v>58806</v>
      </c>
    </row>
    <row r="4" customFormat="false" ht="15" hidden="false" customHeight="true" outlineLevel="0" collapsed="false">
      <c r="A4" s="4" t="s">
        <v>208</v>
      </c>
      <c r="C4" s="8" t="s">
        <v>209</v>
      </c>
      <c r="E4" s="54" t="n">
        <v>1</v>
      </c>
      <c r="F4" s="54" t="n">
        <v>2</v>
      </c>
      <c r="G4" s="54" t="n">
        <v>3</v>
      </c>
      <c r="H4" s="54" t="n">
        <v>4</v>
      </c>
      <c r="I4" s="54" t="n">
        <v>5</v>
      </c>
      <c r="J4" s="54" t="n">
        <v>6</v>
      </c>
      <c r="K4" s="54" t="n">
        <v>7</v>
      </c>
      <c r="L4" s="54" t="n">
        <v>8</v>
      </c>
      <c r="M4" s="54" t="n">
        <v>9</v>
      </c>
      <c r="N4" s="54" t="n">
        <v>10</v>
      </c>
      <c r="O4" s="54" t="n">
        <v>11</v>
      </c>
      <c r="P4" s="54" t="n">
        <v>12</v>
      </c>
      <c r="Q4" s="54" t="n">
        <v>13</v>
      </c>
      <c r="R4" s="54" t="n">
        <v>14</v>
      </c>
      <c r="S4" s="54" t="n">
        <v>15</v>
      </c>
      <c r="T4" s="54" t="n">
        <v>16</v>
      </c>
      <c r="U4" s="54" t="n">
        <v>17</v>
      </c>
      <c r="V4" s="54" t="n">
        <v>18</v>
      </c>
      <c r="W4" s="54" t="n">
        <v>19</v>
      </c>
      <c r="X4" s="54" t="n">
        <v>20</v>
      </c>
      <c r="Y4" s="54" t="n">
        <v>21</v>
      </c>
      <c r="Z4" s="54" t="n">
        <v>22</v>
      </c>
      <c r="AA4" s="54" t="n">
        <v>23</v>
      </c>
      <c r="AB4" s="54" t="n">
        <v>24</v>
      </c>
      <c r="AC4" s="54" t="n">
        <v>25</v>
      </c>
      <c r="AD4" s="54" t="n">
        <v>26</v>
      </c>
      <c r="AE4" s="54" t="n">
        <v>27</v>
      </c>
      <c r="AF4" s="54" t="n">
        <v>28</v>
      </c>
      <c r="AG4" s="54" t="n">
        <v>29</v>
      </c>
      <c r="AH4" s="54" t="n">
        <v>30</v>
      </c>
      <c r="AI4" s="54" t="n">
        <v>31</v>
      </c>
      <c r="AJ4" s="54" t="n">
        <v>32</v>
      </c>
      <c r="AK4" s="54" t="n">
        <v>33</v>
      </c>
      <c r="AL4" s="54" t="n">
        <v>34</v>
      </c>
      <c r="AM4" s="54" t="n">
        <v>35</v>
      </c>
    </row>
    <row r="5" customFormat="false" ht="15" hidden="false" customHeight="true" outlineLevel="0" collapsed="false">
      <c r="A5" s="55" t="s">
        <v>210</v>
      </c>
      <c r="B5" s="55" t="s">
        <v>90</v>
      </c>
      <c r="C5" s="55" t="s">
        <v>91</v>
      </c>
      <c r="D5" s="55" t="s">
        <v>211</v>
      </c>
      <c r="E5" s="56" t="n">
        <v>2026</v>
      </c>
      <c r="F5" s="56" t="n">
        <v>2027</v>
      </c>
      <c r="G5" s="56" t="n">
        <v>2028</v>
      </c>
      <c r="H5" s="56" t="n">
        <v>2029</v>
      </c>
      <c r="I5" s="56" t="n">
        <v>2030</v>
      </c>
      <c r="J5" s="56" t="n">
        <v>2031</v>
      </c>
      <c r="K5" s="56" t="n">
        <v>2032</v>
      </c>
      <c r="L5" s="56" t="n">
        <v>2033</v>
      </c>
      <c r="M5" s="56" t="n">
        <v>2034</v>
      </c>
      <c r="N5" s="56" t="n">
        <v>2035</v>
      </c>
      <c r="O5" s="56" t="n">
        <v>2036</v>
      </c>
      <c r="P5" s="56" t="n">
        <v>2037</v>
      </c>
      <c r="Q5" s="56" t="n">
        <v>2038</v>
      </c>
      <c r="R5" s="56" t="n">
        <v>2039</v>
      </c>
      <c r="S5" s="56" t="n">
        <v>2040</v>
      </c>
      <c r="T5" s="56" t="n">
        <v>2041</v>
      </c>
      <c r="U5" s="56" t="n">
        <v>2042</v>
      </c>
      <c r="V5" s="56" t="n">
        <v>2043</v>
      </c>
      <c r="W5" s="56" t="n">
        <v>2044</v>
      </c>
      <c r="X5" s="56" t="n">
        <v>2045</v>
      </c>
      <c r="Y5" s="56" t="n">
        <v>2046</v>
      </c>
      <c r="Z5" s="56" t="n">
        <v>2047</v>
      </c>
      <c r="AA5" s="56" t="n">
        <v>2048</v>
      </c>
      <c r="AB5" s="56" t="n">
        <v>2049</v>
      </c>
      <c r="AC5" s="56" t="n">
        <v>2050</v>
      </c>
      <c r="AD5" s="56" t="n">
        <v>2051</v>
      </c>
      <c r="AE5" s="56" t="n">
        <v>2052</v>
      </c>
      <c r="AF5" s="56" t="n">
        <v>2053</v>
      </c>
      <c r="AG5" s="56" t="n">
        <v>2054</v>
      </c>
      <c r="AH5" s="56" t="n">
        <v>2055</v>
      </c>
      <c r="AI5" s="56" t="n">
        <v>2056</v>
      </c>
      <c r="AJ5" s="56" t="n">
        <v>2057</v>
      </c>
      <c r="AK5" s="56" t="n">
        <v>2058</v>
      </c>
      <c r="AL5" s="56" t="n">
        <v>2059</v>
      </c>
      <c r="AM5" s="56" t="n">
        <v>2060</v>
      </c>
    </row>
    <row r="6" customFormat="false" ht="15" hidden="false" customHeight="true" outlineLevel="0" collapsed="false">
      <c r="A6" s="57" t="s">
        <v>244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</row>
    <row r="7" customFormat="false" ht="15" hidden="false" customHeight="true" outlineLevel="0" collapsed="false">
      <c r="A7" s="8" t="s">
        <v>245</v>
      </c>
      <c r="B7" s="9" t="n">
        <f aca="false">InpC!B6</f>
        <v>20</v>
      </c>
      <c r="C7" s="10" t="s">
        <v>6</v>
      </c>
    </row>
    <row r="8" customFormat="false" ht="15" hidden="false" customHeight="true" outlineLevel="0" collapsed="false">
      <c r="A8" s="8" t="s">
        <v>319</v>
      </c>
      <c r="B8" s="11" t="n">
        <f aca="false">InpC!B7</f>
        <v>1.3</v>
      </c>
      <c r="C8" s="10" t="s">
        <v>9</v>
      </c>
    </row>
    <row r="9" customFormat="false" ht="15" hidden="false" customHeight="true" outlineLevel="0" collapsed="false">
      <c r="A9" s="8" t="s">
        <v>320</v>
      </c>
      <c r="B9" s="9" t="n">
        <f aca="false">InpC!B14</f>
        <v>58250</v>
      </c>
      <c r="C9" s="10" t="s">
        <v>12</v>
      </c>
    </row>
    <row r="10" customFormat="false" ht="15" hidden="false" customHeight="true" outlineLevel="0" collapsed="false">
      <c r="A10" s="8" t="s">
        <v>321</v>
      </c>
      <c r="B10" s="12" t="n">
        <f aca="false">InpC!B15</f>
        <v>0.99</v>
      </c>
      <c r="C10" s="10" t="s">
        <v>15</v>
      </c>
    </row>
    <row r="11" customFormat="false" ht="15" hidden="false" customHeight="true" outlineLevel="0" collapsed="false">
      <c r="A11" s="8" t="s">
        <v>322</v>
      </c>
      <c r="B11" s="9" t="n">
        <f aca="false">InpC!B16</f>
        <v>1000</v>
      </c>
      <c r="C11" s="10" t="s">
        <v>12</v>
      </c>
    </row>
    <row r="12" customFormat="false" ht="15" hidden="false" customHeight="true" outlineLevel="0" collapsed="false">
      <c r="A12" s="8" t="s">
        <v>323</v>
      </c>
      <c r="B12" s="12" t="n">
        <f aca="false">InpC!B17</f>
        <v>0.005</v>
      </c>
      <c r="C12" s="10" t="s">
        <v>15</v>
      </c>
    </row>
    <row r="13" customFormat="false" ht="15" hidden="false" customHeight="true" outlineLevel="0" collapsed="false">
      <c r="A13" s="8" t="s">
        <v>324</v>
      </c>
      <c r="B13" s="13" t="n">
        <f aca="false">InpC!B19</f>
        <v>60</v>
      </c>
      <c r="C13" s="10" t="s">
        <v>20</v>
      </c>
    </row>
    <row r="14" customFormat="false" ht="15" hidden="false" customHeight="true" outlineLevel="0" collapsed="false">
      <c r="A14" s="8" t="s">
        <v>325</v>
      </c>
      <c r="B14" s="13" t="n">
        <f aca="false">InpC!B21</f>
        <v>40</v>
      </c>
      <c r="C14" s="10" t="s">
        <v>20</v>
      </c>
    </row>
    <row r="15" customFormat="false" ht="15" hidden="false" customHeight="true" outlineLevel="0" collapsed="false">
      <c r="A15" s="8" t="s">
        <v>326</v>
      </c>
      <c r="B15" s="12" t="n">
        <f aca="false">InpC!B55</f>
        <v>0</v>
      </c>
      <c r="C15" s="10" t="s">
        <v>15</v>
      </c>
    </row>
    <row r="16" customFormat="false" ht="15" hidden="false" customHeight="true" outlineLevel="0" collapsed="false">
      <c r="A16" s="8" t="s">
        <v>327</v>
      </c>
      <c r="B16" s="12" t="n">
        <f aca="false">InpC!B57</f>
        <v>0</v>
      </c>
      <c r="C16" s="10" t="s">
        <v>15</v>
      </c>
    </row>
    <row r="17" customFormat="false" ht="15" hidden="false" customHeight="true" outlineLevel="0" collapsed="false">
      <c r="A17" s="8" t="s">
        <v>328</v>
      </c>
      <c r="C17" s="10" t="s">
        <v>42</v>
      </c>
      <c r="E17" s="9" t="n">
        <f aca="false">Time!E12</f>
        <v>1</v>
      </c>
      <c r="F17" s="9" t="n">
        <f aca="false">Time!F12</f>
        <v>2</v>
      </c>
      <c r="G17" s="9" t="n">
        <f aca="false">Time!G12</f>
        <v>3</v>
      </c>
      <c r="H17" s="9" t="n">
        <f aca="false">Time!H12</f>
        <v>4</v>
      </c>
      <c r="I17" s="9" t="n">
        <f aca="false">Time!I12</f>
        <v>5</v>
      </c>
      <c r="J17" s="9" t="n">
        <f aca="false">Time!J12</f>
        <v>6</v>
      </c>
      <c r="K17" s="9" t="n">
        <f aca="false">Time!K12</f>
        <v>7</v>
      </c>
      <c r="L17" s="9" t="n">
        <f aca="false">Time!L12</f>
        <v>8</v>
      </c>
      <c r="M17" s="9" t="n">
        <f aca="false">Time!M12</f>
        <v>9</v>
      </c>
      <c r="N17" s="9" t="n">
        <f aca="false">Time!N12</f>
        <v>10</v>
      </c>
      <c r="O17" s="9" t="n">
        <f aca="false">Time!O12</f>
        <v>11</v>
      </c>
      <c r="P17" s="9" t="n">
        <f aca="false">Time!P12</f>
        <v>12</v>
      </c>
      <c r="Q17" s="9" t="n">
        <f aca="false">Time!Q12</f>
        <v>13</v>
      </c>
      <c r="R17" s="9" t="n">
        <f aca="false">Time!R12</f>
        <v>14</v>
      </c>
      <c r="S17" s="9" t="n">
        <f aca="false">Time!S12</f>
        <v>15</v>
      </c>
      <c r="T17" s="9" t="n">
        <f aca="false">Time!T12</f>
        <v>16</v>
      </c>
      <c r="U17" s="9" t="n">
        <f aca="false">Time!U12</f>
        <v>17</v>
      </c>
      <c r="V17" s="9" t="n">
        <f aca="false">Time!V12</f>
        <v>18</v>
      </c>
      <c r="W17" s="9" t="n">
        <f aca="false">Time!W12</f>
        <v>19</v>
      </c>
      <c r="X17" s="9" t="n">
        <f aca="false">Time!X12</f>
        <v>20</v>
      </c>
      <c r="Y17" s="9" t="n">
        <f aca="false">Time!Y12</f>
        <v>21</v>
      </c>
      <c r="Z17" s="9" t="n">
        <f aca="false">Time!Z12</f>
        <v>22</v>
      </c>
      <c r="AA17" s="9" t="n">
        <f aca="false">Time!AA12</f>
        <v>23</v>
      </c>
      <c r="AB17" s="9" t="n">
        <f aca="false">Time!AB12</f>
        <v>24</v>
      </c>
      <c r="AC17" s="9" t="n">
        <f aca="false">Time!AC12</f>
        <v>25</v>
      </c>
      <c r="AD17" s="9" t="n">
        <f aca="false">Time!AD12</f>
        <v>26</v>
      </c>
      <c r="AE17" s="9" t="n">
        <f aca="false">Time!AE12</f>
        <v>27</v>
      </c>
      <c r="AF17" s="9" t="n">
        <f aca="false">Time!AF12</f>
        <v>28</v>
      </c>
      <c r="AG17" s="9" t="n">
        <f aca="false">Time!AG12</f>
        <v>29</v>
      </c>
      <c r="AH17" s="9" t="n">
        <f aca="false">Time!AH12</f>
        <v>30</v>
      </c>
      <c r="AI17" s="9" t="n">
        <f aca="false">Time!AI12</f>
        <v>31</v>
      </c>
      <c r="AJ17" s="9" t="n">
        <f aca="false">Time!AJ12</f>
        <v>32</v>
      </c>
      <c r="AK17" s="9" t="n">
        <f aca="false">Time!AK12</f>
        <v>33</v>
      </c>
      <c r="AL17" s="9" t="n">
        <f aca="false">Time!AL12</f>
        <v>34</v>
      </c>
      <c r="AM17" s="9" t="n">
        <f aca="false">Time!AM12</f>
        <v>35</v>
      </c>
    </row>
    <row r="18" customFormat="false" ht="15" hidden="false" customHeight="true" outlineLevel="0" collapsed="false">
      <c r="A18" s="8" t="s">
        <v>329</v>
      </c>
      <c r="C18" s="10" t="s">
        <v>219</v>
      </c>
      <c r="E18" s="63" t="n">
        <f aca="false">Time!E13</f>
        <v>1</v>
      </c>
      <c r="F18" s="63" t="n">
        <f aca="false">Time!F13</f>
        <v>1</v>
      </c>
      <c r="G18" s="63" t="n">
        <f aca="false">Time!G13</f>
        <v>1</v>
      </c>
      <c r="H18" s="63" t="n">
        <f aca="false">Time!H13</f>
        <v>1</v>
      </c>
      <c r="I18" s="63" t="n">
        <f aca="false">Time!I13</f>
        <v>1</v>
      </c>
      <c r="J18" s="63" t="n">
        <f aca="false">Time!J13</f>
        <v>1</v>
      </c>
      <c r="K18" s="63" t="n">
        <f aca="false">Time!K13</f>
        <v>1</v>
      </c>
      <c r="L18" s="63" t="n">
        <f aca="false">Time!L13</f>
        <v>1</v>
      </c>
      <c r="M18" s="63" t="n">
        <f aca="false">Time!M13</f>
        <v>1</v>
      </c>
      <c r="N18" s="63" t="n">
        <f aca="false">Time!N13</f>
        <v>1</v>
      </c>
      <c r="O18" s="63" t="n">
        <f aca="false">Time!O13</f>
        <v>1</v>
      </c>
      <c r="P18" s="63" t="n">
        <f aca="false">Time!P13</f>
        <v>1</v>
      </c>
      <c r="Q18" s="63" t="n">
        <f aca="false">Time!Q13</f>
        <v>1</v>
      </c>
      <c r="R18" s="63" t="n">
        <f aca="false">Time!R13</f>
        <v>1</v>
      </c>
      <c r="S18" s="63" t="n">
        <f aca="false">Time!S13</f>
        <v>1</v>
      </c>
      <c r="T18" s="63" t="n">
        <f aca="false">Time!T13</f>
        <v>1</v>
      </c>
      <c r="U18" s="63" t="n">
        <f aca="false">Time!U13</f>
        <v>1</v>
      </c>
      <c r="V18" s="63" t="n">
        <f aca="false">Time!V13</f>
        <v>1</v>
      </c>
      <c r="W18" s="63" t="n">
        <f aca="false">Time!W13</f>
        <v>1</v>
      </c>
      <c r="X18" s="63" t="n">
        <f aca="false">Time!X13</f>
        <v>1</v>
      </c>
      <c r="Y18" s="63" t="n">
        <f aca="false">Time!Y13</f>
        <v>1</v>
      </c>
      <c r="Z18" s="63" t="n">
        <f aca="false">Time!Z13</f>
        <v>1</v>
      </c>
      <c r="AA18" s="63" t="n">
        <f aca="false">Time!AA13</f>
        <v>1</v>
      </c>
      <c r="AB18" s="63" t="n">
        <f aca="false">Time!AB13</f>
        <v>1</v>
      </c>
      <c r="AC18" s="63" t="n">
        <f aca="false">Time!AC13</f>
        <v>1</v>
      </c>
      <c r="AD18" s="63" t="n">
        <f aca="false">Time!AD13</f>
        <v>1</v>
      </c>
      <c r="AE18" s="63" t="n">
        <f aca="false">Time!AE13</f>
        <v>1</v>
      </c>
      <c r="AF18" s="63" t="n">
        <f aca="false">Time!AF13</f>
        <v>1</v>
      </c>
      <c r="AG18" s="63" t="n">
        <f aca="false">Time!AG13</f>
        <v>1</v>
      </c>
      <c r="AH18" s="63" t="n">
        <f aca="false">Time!AH13</f>
        <v>1</v>
      </c>
      <c r="AI18" s="63" t="n">
        <f aca="false">Time!AI13</f>
        <v>1</v>
      </c>
      <c r="AJ18" s="63" t="n">
        <f aca="false">Time!AJ13</f>
        <v>1</v>
      </c>
      <c r="AK18" s="63" t="n">
        <f aca="false">Time!AK13</f>
        <v>1</v>
      </c>
      <c r="AL18" s="63" t="n">
        <f aca="false">Time!AL13</f>
        <v>1</v>
      </c>
      <c r="AM18" s="63" t="n">
        <f aca="false">Time!AM13</f>
        <v>1</v>
      </c>
    </row>
    <row r="19" customFormat="false" ht="15" hidden="false" customHeight="true" outlineLevel="0" collapsed="false">
      <c r="A19" s="8" t="s">
        <v>330</v>
      </c>
      <c r="C19" s="10" t="s">
        <v>219</v>
      </c>
      <c r="E19" s="63" t="n">
        <f aca="false">Time!E14</f>
        <v>1</v>
      </c>
      <c r="F19" s="63" t="n">
        <f aca="false">Time!F14</f>
        <v>1</v>
      </c>
      <c r="G19" s="63" t="n">
        <f aca="false">Time!G14</f>
        <v>1</v>
      </c>
      <c r="H19" s="63" t="n">
        <f aca="false">Time!H14</f>
        <v>1</v>
      </c>
      <c r="I19" s="63" t="n">
        <f aca="false">Time!I14</f>
        <v>1</v>
      </c>
      <c r="J19" s="63" t="n">
        <f aca="false">Time!J14</f>
        <v>1</v>
      </c>
      <c r="K19" s="63" t="n">
        <f aca="false">Time!K14</f>
        <v>1</v>
      </c>
      <c r="L19" s="63" t="n">
        <f aca="false">Time!L14</f>
        <v>1</v>
      </c>
      <c r="M19" s="63" t="n">
        <f aca="false">Time!M14</f>
        <v>1</v>
      </c>
      <c r="N19" s="63" t="n">
        <f aca="false">Time!N14</f>
        <v>1</v>
      </c>
      <c r="O19" s="63" t="n">
        <f aca="false">Time!O14</f>
        <v>1</v>
      </c>
      <c r="P19" s="63" t="n">
        <f aca="false">Time!P14</f>
        <v>1</v>
      </c>
      <c r="Q19" s="63" t="n">
        <f aca="false">Time!Q14</f>
        <v>1</v>
      </c>
      <c r="R19" s="63" t="n">
        <f aca="false">Time!R14</f>
        <v>1</v>
      </c>
      <c r="S19" s="63" t="n">
        <f aca="false">Time!S14</f>
        <v>1</v>
      </c>
      <c r="T19" s="63" t="n">
        <f aca="false">Time!T14</f>
        <v>1</v>
      </c>
      <c r="U19" s="63" t="n">
        <f aca="false">Time!U14</f>
        <v>1</v>
      </c>
      <c r="V19" s="63" t="n">
        <f aca="false">Time!V14</f>
        <v>1</v>
      </c>
      <c r="W19" s="63" t="n">
        <f aca="false">Time!W14</f>
        <v>1</v>
      </c>
      <c r="X19" s="63" t="n">
        <f aca="false">Time!X14</f>
        <v>1</v>
      </c>
      <c r="Y19" s="63" t="n">
        <f aca="false">Time!Y14</f>
        <v>0</v>
      </c>
      <c r="Z19" s="63" t="n">
        <f aca="false">Time!Z14</f>
        <v>0</v>
      </c>
      <c r="AA19" s="63" t="n">
        <f aca="false">Time!AA14</f>
        <v>0</v>
      </c>
      <c r="AB19" s="63" t="n">
        <f aca="false">Time!AB14</f>
        <v>0</v>
      </c>
      <c r="AC19" s="63" t="n">
        <f aca="false">Time!AC14</f>
        <v>0</v>
      </c>
      <c r="AD19" s="63" t="n">
        <f aca="false">Time!AD14</f>
        <v>0</v>
      </c>
      <c r="AE19" s="63" t="n">
        <f aca="false">Time!AE14</f>
        <v>0</v>
      </c>
      <c r="AF19" s="63" t="n">
        <f aca="false">Time!AF14</f>
        <v>0</v>
      </c>
      <c r="AG19" s="63" t="n">
        <f aca="false">Time!AG14</f>
        <v>0</v>
      </c>
      <c r="AH19" s="63" t="n">
        <f aca="false">Time!AH14</f>
        <v>0</v>
      </c>
      <c r="AI19" s="63" t="n">
        <f aca="false">Time!AI14</f>
        <v>0</v>
      </c>
      <c r="AJ19" s="63" t="n">
        <f aca="false">Time!AJ14</f>
        <v>0</v>
      </c>
      <c r="AK19" s="63" t="n">
        <f aca="false">Time!AK14</f>
        <v>0</v>
      </c>
      <c r="AL19" s="63" t="n">
        <f aca="false">Time!AL14</f>
        <v>0</v>
      </c>
      <c r="AM19" s="63" t="n">
        <f aca="false">Time!AM14</f>
        <v>0</v>
      </c>
    </row>
    <row r="20" customFormat="false" ht="15" hidden="false" customHeight="true" outlineLevel="0" collapsed="false">
      <c r="A20" s="8" t="s">
        <v>331</v>
      </c>
      <c r="C20" s="10" t="s">
        <v>219</v>
      </c>
      <c r="E20" s="63" t="n">
        <f aca="false">Time!E15</f>
        <v>0</v>
      </c>
      <c r="F20" s="63" t="n">
        <f aca="false">Time!F15</f>
        <v>0</v>
      </c>
      <c r="G20" s="63" t="n">
        <f aca="false">Time!G15</f>
        <v>0</v>
      </c>
      <c r="H20" s="63" t="n">
        <f aca="false">Time!H15</f>
        <v>0</v>
      </c>
      <c r="I20" s="63" t="n">
        <f aca="false">Time!I15</f>
        <v>0</v>
      </c>
      <c r="J20" s="63" t="n">
        <f aca="false">Time!J15</f>
        <v>0</v>
      </c>
      <c r="K20" s="63" t="n">
        <f aca="false">Time!K15</f>
        <v>0</v>
      </c>
      <c r="L20" s="63" t="n">
        <f aca="false">Time!L15</f>
        <v>0</v>
      </c>
      <c r="M20" s="63" t="n">
        <f aca="false">Time!M15</f>
        <v>0</v>
      </c>
      <c r="N20" s="63" t="n">
        <f aca="false">Time!N15</f>
        <v>0</v>
      </c>
      <c r="O20" s="63" t="n">
        <f aca="false">Time!O15</f>
        <v>0</v>
      </c>
      <c r="P20" s="63" t="n">
        <f aca="false">Time!P15</f>
        <v>0</v>
      </c>
      <c r="Q20" s="63" t="n">
        <f aca="false">Time!Q15</f>
        <v>0</v>
      </c>
      <c r="R20" s="63" t="n">
        <f aca="false">Time!R15</f>
        <v>0</v>
      </c>
      <c r="S20" s="63" t="n">
        <f aca="false">Time!S15</f>
        <v>0</v>
      </c>
      <c r="T20" s="63" t="n">
        <f aca="false">Time!T15</f>
        <v>0</v>
      </c>
      <c r="U20" s="63" t="n">
        <f aca="false">Time!U15</f>
        <v>0</v>
      </c>
      <c r="V20" s="63" t="n">
        <f aca="false">Time!V15</f>
        <v>0</v>
      </c>
      <c r="W20" s="63" t="n">
        <f aca="false">Time!W15</f>
        <v>0</v>
      </c>
      <c r="X20" s="63" t="n">
        <f aca="false">Time!X15</f>
        <v>0</v>
      </c>
      <c r="Y20" s="63" t="n">
        <f aca="false">Time!Y15</f>
        <v>1</v>
      </c>
      <c r="Z20" s="63" t="n">
        <f aca="false">Time!Z15</f>
        <v>1</v>
      </c>
      <c r="AA20" s="63" t="n">
        <f aca="false">Time!AA15</f>
        <v>1</v>
      </c>
      <c r="AB20" s="63" t="n">
        <f aca="false">Time!AB15</f>
        <v>1</v>
      </c>
      <c r="AC20" s="63" t="n">
        <f aca="false">Time!AC15</f>
        <v>1</v>
      </c>
      <c r="AD20" s="63" t="n">
        <f aca="false">Time!AD15</f>
        <v>1</v>
      </c>
      <c r="AE20" s="63" t="n">
        <f aca="false">Time!AE15</f>
        <v>1</v>
      </c>
      <c r="AF20" s="63" t="n">
        <f aca="false">Time!AF15</f>
        <v>1</v>
      </c>
      <c r="AG20" s="63" t="n">
        <f aca="false">Time!AG15</f>
        <v>1</v>
      </c>
      <c r="AH20" s="63" t="n">
        <f aca="false">Time!AH15</f>
        <v>1</v>
      </c>
      <c r="AI20" s="63" t="n">
        <f aca="false">Time!AI15</f>
        <v>1</v>
      </c>
      <c r="AJ20" s="63" t="n">
        <f aca="false">Time!AJ15</f>
        <v>1</v>
      </c>
      <c r="AK20" s="63" t="n">
        <f aca="false">Time!AK15</f>
        <v>1</v>
      </c>
      <c r="AL20" s="63" t="n">
        <f aca="false">Time!AL15</f>
        <v>1</v>
      </c>
      <c r="AM20" s="63" t="n">
        <f aca="false">Time!AM15</f>
        <v>1</v>
      </c>
    </row>
    <row r="21" customFormat="false" ht="15" hidden="false" customHeight="true" outlineLevel="0" collapsed="false">
      <c r="A21" s="8" t="s">
        <v>332</v>
      </c>
      <c r="C21" s="10" t="s">
        <v>9</v>
      </c>
      <c r="E21" s="11" t="n">
        <f aca="false">Esc!E14</f>
        <v>1</v>
      </c>
      <c r="F21" s="11" t="n">
        <f aca="false">Esc!F14</f>
        <v>1.01</v>
      </c>
      <c r="G21" s="11" t="n">
        <f aca="false">Esc!G14</f>
        <v>1.0201</v>
      </c>
      <c r="H21" s="11" t="n">
        <f aca="false">Esc!H14</f>
        <v>1.030301</v>
      </c>
      <c r="I21" s="11" t="n">
        <f aca="false">Esc!I14</f>
        <v>1.04060401</v>
      </c>
      <c r="J21" s="11" t="n">
        <f aca="false">Esc!J14</f>
        <v>1.0510100501</v>
      </c>
      <c r="K21" s="11" t="n">
        <f aca="false">Esc!K14</f>
        <v>1.061520150601</v>
      </c>
      <c r="L21" s="11" t="n">
        <f aca="false">Esc!L14</f>
        <v>1.07213535210701</v>
      </c>
      <c r="M21" s="11" t="n">
        <f aca="false">Esc!M14</f>
        <v>1.08285670562808</v>
      </c>
      <c r="N21" s="11" t="n">
        <f aca="false">Esc!N14</f>
        <v>1.09368527268436</v>
      </c>
      <c r="O21" s="11" t="n">
        <f aca="false">Esc!O14</f>
        <v>1.1046221254112</v>
      </c>
      <c r="P21" s="11" t="n">
        <f aca="false">Esc!P14</f>
        <v>1.11566834666532</v>
      </c>
      <c r="Q21" s="11" t="n">
        <f aca="false">Esc!Q14</f>
        <v>1.12682503013197</v>
      </c>
      <c r="R21" s="11" t="n">
        <f aca="false">Esc!R14</f>
        <v>1.13809328043329</v>
      </c>
      <c r="S21" s="11" t="n">
        <f aca="false">Esc!S14</f>
        <v>1.14947421323762</v>
      </c>
      <c r="T21" s="11" t="n">
        <f aca="false">Esc!T14</f>
        <v>1.16096895537</v>
      </c>
      <c r="U21" s="11" t="n">
        <f aca="false">Esc!U14</f>
        <v>1.1725786449237</v>
      </c>
      <c r="V21" s="11" t="n">
        <f aca="false">Esc!V14</f>
        <v>1.18430443137294</v>
      </c>
      <c r="W21" s="11" t="n">
        <f aca="false">Esc!W14</f>
        <v>1.19614747568667</v>
      </c>
      <c r="X21" s="11" t="n">
        <f aca="false">Esc!X14</f>
        <v>1.20810895044353</v>
      </c>
      <c r="Y21" s="11" t="n">
        <f aca="false">Esc!Y14</f>
        <v>1.22019003994797</v>
      </c>
      <c r="Z21" s="11" t="n">
        <f aca="false">Esc!Z14</f>
        <v>1.23239194034745</v>
      </c>
      <c r="AA21" s="11" t="n">
        <f aca="false">Esc!AA14</f>
        <v>1.24471585975092</v>
      </c>
      <c r="AB21" s="11" t="n">
        <f aca="false">Esc!AB14</f>
        <v>1.25716301834843</v>
      </c>
      <c r="AC21" s="11" t="n">
        <f aca="false">Esc!AC14</f>
        <v>1.26973464853191</v>
      </c>
      <c r="AD21" s="11" t="n">
        <f aca="false">Esc!AD14</f>
        <v>1.28243199501723</v>
      </c>
      <c r="AE21" s="11" t="n">
        <f aca="false">Esc!AE14</f>
        <v>1.29525631496741</v>
      </c>
      <c r="AF21" s="11" t="n">
        <f aca="false">Esc!AF14</f>
        <v>1.30820887811708</v>
      </c>
      <c r="AG21" s="11" t="n">
        <f aca="false">Esc!AG14</f>
        <v>1.32129096689825</v>
      </c>
      <c r="AH21" s="11" t="n">
        <f aca="false">Esc!AH14</f>
        <v>1.33450387656723</v>
      </c>
      <c r="AI21" s="11" t="n">
        <f aca="false">Esc!AI14</f>
        <v>1.34784891533291</v>
      </c>
      <c r="AJ21" s="11" t="n">
        <f aca="false">Esc!AJ14</f>
        <v>1.36132740448624</v>
      </c>
      <c r="AK21" s="11" t="n">
        <f aca="false">Esc!AK14</f>
        <v>1.3749406785311</v>
      </c>
      <c r="AL21" s="11" t="n">
        <f aca="false">Esc!AL14</f>
        <v>1.38869008531641</v>
      </c>
      <c r="AM21" s="11" t="n">
        <f aca="false">Esc!AM14</f>
        <v>1.40257698616957</v>
      </c>
    </row>
    <row r="23" customFormat="false" ht="15" hidden="false" customHeight="true" outlineLevel="0" collapsed="false">
      <c r="A23" s="57" t="s">
        <v>333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</row>
    <row r="24" customFormat="false" ht="15" hidden="false" customHeight="true" outlineLevel="0" collapsed="false">
      <c r="A24" s="8" t="s">
        <v>334</v>
      </c>
      <c r="C24" s="10" t="s">
        <v>12</v>
      </c>
      <c r="D24" s="59" t="n">
        <f aca="false">SUM(E24:AM24)</f>
        <v>2038750</v>
      </c>
      <c r="E24" s="59" t="n">
        <f aca="false">$B$9*(1+$B$16)*E18</f>
        <v>58250</v>
      </c>
      <c r="F24" s="59" t="n">
        <f aca="false">$B$9*(1+$B$16)*F18</f>
        <v>58250</v>
      </c>
      <c r="G24" s="59" t="n">
        <f aca="false">$B$9*(1+$B$16)*G18</f>
        <v>58250</v>
      </c>
      <c r="H24" s="59" t="n">
        <f aca="false">$B$9*(1+$B$16)*H18</f>
        <v>58250</v>
      </c>
      <c r="I24" s="59" t="n">
        <f aca="false">$B$9*(1+$B$16)*I18</f>
        <v>58250</v>
      </c>
      <c r="J24" s="59" t="n">
        <f aca="false">$B$9*(1+$B$16)*J18</f>
        <v>58250</v>
      </c>
      <c r="K24" s="59" t="n">
        <f aca="false">$B$9*(1+$B$16)*K18</f>
        <v>58250</v>
      </c>
      <c r="L24" s="59" t="n">
        <f aca="false">$B$9*(1+$B$16)*L18</f>
        <v>58250</v>
      </c>
      <c r="M24" s="59" t="n">
        <f aca="false">$B$9*(1+$B$16)*M18</f>
        <v>58250</v>
      </c>
      <c r="N24" s="59" t="n">
        <f aca="false">$B$9*(1+$B$16)*N18</f>
        <v>58250</v>
      </c>
      <c r="O24" s="59" t="n">
        <f aca="false">$B$9*(1+$B$16)*O18</f>
        <v>58250</v>
      </c>
      <c r="P24" s="59" t="n">
        <f aca="false">$B$9*(1+$B$16)*P18</f>
        <v>58250</v>
      </c>
      <c r="Q24" s="59" t="n">
        <f aca="false">$B$9*(1+$B$16)*Q18</f>
        <v>58250</v>
      </c>
      <c r="R24" s="59" t="n">
        <f aca="false">$B$9*(1+$B$16)*R18</f>
        <v>58250</v>
      </c>
      <c r="S24" s="59" t="n">
        <f aca="false">$B$9*(1+$B$16)*S18</f>
        <v>58250</v>
      </c>
      <c r="T24" s="59" t="n">
        <f aca="false">$B$9*(1+$B$16)*T18</f>
        <v>58250</v>
      </c>
      <c r="U24" s="59" t="n">
        <f aca="false">$B$9*(1+$B$16)*U18</f>
        <v>58250</v>
      </c>
      <c r="V24" s="59" t="n">
        <f aca="false">$B$9*(1+$B$16)*V18</f>
        <v>58250</v>
      </c>
      <c r="W24" s="59" t="n">
        <f aca="false">$B$9*(1+$B$16)*W18</f>
        <v>58250</v>
      </c>
      <c r="X24" s="59" t="n">
        <f aca="false">$B$9*(1+$B$16)*X18</f>
        <v>58250</v>
      </c>
      <c r="Y24" s="59" t="n">
        <f aca="false">$B$9*(1+$B$16)*Y18</f>
        <v>58250</v>
      </c>
      <c r="Z24" s="59" t="n">
        <f aca="false">$B$9*(1+$B$16)*Z18</f>
        <v>58250</v>
      </c>
      <c r="AA24" s="59" t="n">
        <f aca="false">$B$9*(1+$B$16)*AA18</f>
        <v>58250</v>
      </c>
      <c r="AB24" s="59" t="n">
        <f aca="false">$B$9*(1+$B$16)*AB18</f>
        <v>58250</v>
      </c>
      <c r="AC24" s="59" t="n">
        <f aca="false">$B$9*(1+$B$16)*AC18</f>
        <v>58250</v>
      </c>
      <c r="AD24" s="59" t="n">
        <f aca="false">$B$9*(1+$B$16)*AD18</f>
        <v>58250</v>
      </c>
      <c r="AE24" s="59" t="n">
        <f aca="false">$B$9*(1+$B$16)*AE18</f>
        <v>58250</v>
      </c>
      <c r="AF24" s="59" t="n">
        <f aca="false">$B$9*(1+$B$16)*AF18</f>
        <v>58250</v>
      </c>
      <c r="AG24" s="59" t="n">
        <f aca="false">$B$9*(1+$B$16)*AG18</f>
        <v>58250</v>
      </c>
      <c r="AH24" s="59" t="n">
        <f aca="false">$B$9*(1+$B$16)*AH18</f>
        <v>58250</v>
      </c>
      <c r="AI24" s="59" t="n">
        <f aca="false">$B$9*(1+$B$16)*AI18</f>
        <v>58250</v>
      </c>
      <c r="AJ24" s="59" t="n">
        <f aca="false">$B$9*(1+$B$16)*AJ18</f>
        <v>58250</v>
      </c>
      <c r="AK24" s="59" t="n">
        <f aca="false">$B$9*(1+$B$16)*AK18</f>
        <v>58250</v>
      </c>
      <c r="AL24" s="59" t="n">
        <f aca="false">$B$9*(1+$B$16)*AL18</f>
        <v>58250</v>
      </c>
      <c r="AM24" s="59" t="n">
        <f aca="false">$B$9*(1+$B$16)*AM18</f>
        <v>58250</v>
      </c>
    </row>
    <row r="25" customFormat="false" ht="15" hidden="false" customHeight="true" outlineLevel="0" collapsed="false">
      <c r="A25" s="8" t="s">
        <v>335</v>
      </c>
      <c r="C25" s="10" t="s">
        <v>12</v>
      </c>
      <c r="D25" s="59" t="n">
        <f aca="false">SUM(E25:AM25)</f>
        <v>2018362.5</v>
      </c>
      <c r="E25" s="59" t="n">
        <f aca="false">E24*$B$10</f>
        <v>57667.5</v>
      </c>
      <c r="F25" s="59" t="n">
        <f aca="false">F24*$B$10</f>
        <v>57667.5</v>
      </c>
      <c r="G25" s="59" t="n">
        <f aca="false">G24*$B$10</f>
        <v>57667.5</v>
      </c>
      <c r="H25" s="59" t="n">
        <f aca="false">H24*$B$10</f>
        <v>57667.5</v>
      </c>
      <c r="I25" s="59" t="n">
        <f aca="false">I24*$B$10</f>
        <v>57667.5</v>
      </c>
      <c r="J25" s="59" t="n">
        <f aca="false">J24*$B$10</f>
        <v>57667.5</v>
      </c>
      <c r="K25" s="59" t="n">
        <f aca="false">K24*$B$10</f>
        <v>57667.5</v>
      </c>
      <c r="L25" s="59" t="n">
        <f aca="false">L24*$B$10</f>
        <v>57667.5</v>
      </c>
      <c r="M25" s="59" t="n">
        <f aca="false">M24*$B$10</f>
        <v>57667.5</v>
      </c>
      <c r="N25" s="59" t="n">
        <f aca="false">N24*$B$10</f>
        <v>57667.5</v>
      </c>
      <c r="O25" s="59" t="n">
        <f aca="false">O24*$B$10</f>
        <v>57667.5</v>
      </c>
      <c r="P25" s="59" t="n">
        <f aca="false">P24*$B$10</f>
        <v>57667.5</v>
      </c>
      <c r="Q25" s="59" t="n">
        <f aca="false">Q24*$B$10</f>
        <v>57667.5</v>
      </c>
      <c r="R25" s="59" t="n">
        <f aca="false">R24*$B$10</f>
        <v>57667.5</v>
      </c>
      <c r="S25" s="59" t="n">
        <f aca="false">S24*$B$10</f>
        <v>57667.5</v>
      </c>
      <c r="T25" s="59" t="n">
        <f aca="false">T24*$B$10</f>
        <v>57667.5</v>
      </c>
      <c r="U25" s="59" t="n">
        <f aca="false">U24*$B$10</f>
        <v>57667.5</v>
      </c>
      <c r="V25" s="59" t="n">
        <f aca="false">V24*$B$10</f>
        <v>57667.5</v>
      </c>
      <c r="W25" s="59" t="n">
        <f aca="false">W24*$B$10</f>
        <v>57667.5</v>
      </c>
      <c r="X25" s="59" t="n">
        <f aca="false">X24*$B$10</f>
        <v>57667.5</v>
      </c>
      <c r="Y25" s="59" t="n">
        <f aca="false">Y24*$B$10</f>
        <v>57667.5</v>
      </c>
      <c r="Z25" s="59" t="n">
        <f aca="false">Z24*$B$10</f>
        <v>57667.5</v>
      </c>
      <c r="AA25" s="59" t="n">
        <f aca="false">AA24*$B$10</f>
        <v>57667.5</v>
      </c>
      <c r="AB25" s="59" t="n">
        <f aca="false">AB24*$B$10</f>
        <v>57667.5</v>
      </c>
      <c r="AC25" s="59" t="n">
        <f aca="false">AC24*$B$10</f>
        <v>57667.5</v>
      </c>
      <c r="AD25" s="59" t="n">
        <f aca="false">AD24*$B$10</f>
        <v>57667.5</v>
      </c>
      <c r="AE25" s="59" t="n">
        <f aca="false">AE24*$B$10</f>
        <v>57667.5</v>
      </c>
      <c r="AF25" s="59" t="n">
        <f aca="false">AF24*$B$10</f>
        <v>57667.5</v>
      </c>
      <c r="AG25" s="59" t="n">
        <f aca="false">AG24*$B$10</f>
        <v>57667.5</v>
      </c>
      <c r="AH25" s="59" t="n">
        <f aca="false">AH24*$B$10</f>
        <v>57667.5</v>
      </c>
      <c r="AI25" s="59" t="n">
        <f aca="false">AI24*$B$10</f>
        <v>57667.5</v>
      </c>
      <c r="AJ25" s="59" t="n">
        <f aca="false">AJ24*$B$10</f>
        <v>57667.5</v>
      </c>
      <c r="AK25" s="59" t="n">
        <f aca="false">AK24*$B$10</f>
        <v>57667.5</v>
      </c>
      <c r="AL25" s="59" t="n">
        <f aca="false">AL24*$B$10</f>
        <v>57667.5</v>
      </c>
      <c r="AM25" s="59" t="n">
        <f aca="false">AM24*$B$10</f>
        <v>57667.5</v>
      </c>
    </row>
    <row r="26" customFormat="false" ht="15" hidden="false" customHeight="true" outlineLevel="0" collapsed="false">
      <c r="A26" s="8" t="s">
        <v>336</v>
      </c>
      <c r="C26" s="10" t="s">
        <v>12</v>
      </c>
      <c r="D26" s="59" t="n">
        <f aca="false">SUM(E26:AM26)</f>
        <v>1983362.5</v>
      </c>
      <c r="E26" s="59" t="n">
        <f aca="false">(E25-$B$11)*E18</f>
        <v>56667.5</v>
      </c>
      <c r="F26" s="59" t="n">
        <f aca="false">(F25-$B$11)*F18</f>
        <v>56667.5</v>
      </c>
      <c r="G26" s="59" t="n">
        <f aca="false">(G25-$B$11)*G18</f>
        <v>56667.5</v>
      </c>
      <c r="H26" s="59" t="n">
        <f aca="false">(H25-$B$11)*H18</f>
        <v>56667.5</v>
      </c>
      <c r="I26" s="59" t="n">
        <f aca="false">(I25-$B$11)*I18</f>
        <v>56667.5</v>
      </c>
      <c r="J26" s="59" t="n">
        <f aca="false">(J25-$B$11)*J18</f>
        <v>56667.5</v>
      </c>
      <c r="K26" s="59" t="n">
        <f aca="false">(K25-$B$11)*K18</f>
        <v>56667.5</v>
      </c>
      <c r="L26" s="59" t="n">
        <f aca="false">(L25-$B$11)*L18</f>
        <v>56667.5</v>
      </c>
      <c r="M26" s="59" t="n">
        <f aca="false">(M25-$B$11)*M18</f>
        <v>56667.5</v>
      </c>
      <c r="N26" s="59" t="n">
        <f aca="false">(N25-$B$11)*N18</f>
        <v>56667.5</v>
      </c>
      <c r="O26" s="59" t="n">
        <f aca="false">(O25-$B$11)*O18</f>
        <v>56667.5</v>
      </c>
      <c r="P26" s="59" t="n">
        <f aca="false">(P25-$B$11)*P18</f>
        <v>56667.5</v>
      </c>
      <c r="Q26" s="59" t="n">
        <f aca="false">(Q25-$B$11)*Q18</f>
        <v>56667.5</v>
      </c>
      <c r="R26" s="59" t="n">
        <f aca="false">(R25-$B$11)*R18</f>
        <v>56667.5</v>
      </c>
      <c r="S26" s="59" t="n">
        <f aca="false">(S25-$B$11)*S18</f>
        <v>56667.5</v>
      </c>
      <c r="T26" s="59" t="n">
        <f aca="false">(T25-$B$11)*T18</f>
        <v>56667.5</v>
      </c>
      <c r="U26" s="59" t="n">
        <f aca="false">(U25-$B$11)*U18</f>
        <v>56667.5</v>
      </c>
      <c r="V26" s="59" t="n">
        <f aca="false">(V25-$B$11)*V18</f>
        <v>56667.5</v>
      </c>
      <c r="W26" s="59" t="n">
        <f aca="false">(W25-$B$11)*W18</f>
        <v>56667.5</v>
      </c>
      <c r="X26" s="59" t="n">
        <f aca="false">(X25-$B$11)*X18</f>
        <v>56667.5</v>
      </c>
      <c r="Y26" s="59" t="n">
        <f aca="false">(Y25-$B$11)*Y18</f>
        <v>56667.5</v>
      </c>
      <c r="Z26" s="59" t="n">
        <f aca="false">(Z25-$B$11)*Z18</f>
        <v>56667.5</v>
      </c>
      <c r="AA26" s="59" t="n">
        <f aca="false">(AA25-$B$11)*AA18</f>
        <v>56667.5</v>
      </c>
      <c r="AB26" s="59" t="n">
        <f aca="false">(AB25-$B$11)*AB18</f>
        <v>56667.5</v>
      </c>
      <c r="AC26" s="59" t="n">
        <f aca="false">(AC25-$B$11)*AC18</f>
        <v>56667.5</v>
      </c>
      <c r="AD26" s="59" t="n">
        <f aca="false">(AD25-$B$11)*AD18</f>
        <v>56667.5</v>
      </c>
      <c r="AE26" s="59" t="n">
        <f aca="false">(AE25-$B$11)*AE18</f>
        <v>56667.5</v>
      </c>
      <c r="AF26" s="59" t="n">
        <f aca="false">(AF25-$B$11)*AF18</f>
        <v>56667.5</v>
      </c>
      <c r="AG26" s="59" t="n">
        <f aca="false">(AG25-$B$11)*AG18</f>
        <v>56667.5</v>
      </c>
      <c r="AH26" s="59" t="n">
        <f aca="false">(AH25-$B$11)*AH18</f>
        <v>56667.5</v>
      </c>
      <c r="AI26" s="59" t="n">
        <f aca="false">(AI25-$B$11)*AI18</f>
        <v>56667.5</v>
      </c>
      <c r="AJ26" s="59" t="n">
        <f aca="false">(AJ25-$B$11)*AJ18</f>
        <v>56667.5</v>
      </c>
      <c r="AK26" s="59" t="n">
        <f aca="false">(AK25-$B$11)*AK18</f>
        <v>56667.5</v>
      </c>
      <c r="AL26" s="59" t="n">
        <f aca="false">(AL25-$B$11)*AL18</f>
        <v>56667.5</v>
      </c>
      <c r="AM26" s="59" t="n">
        <f aca="false">(AM25-$B$11)*AM18</f>
        <v>56667.5</v>
      </c>
    </row>
    <row r="27" customFormat="false" ht="15" hidden="false" customHeight="true" outlineLevel="0" collapsed="false">
      <c r="A27" s="8" t="s">
        <v>337</v>
      </c>
      <c r="C27" s="10" t="s">
        <v>9</v>
      </c>
      <c r="E27" s="62" t="n">
        <f aca="false">(1-$B$12)^(E17-1)</f>
        <v>1</v>
      </c>
      <c r="F27" s="62" t="n">
        <f aca="false">(1-$B$12)^(F17-1)</f>
        <v>0.995</v>
      </c>
      <c r="G27" s="62" t="n">
        <f aca="false">(1-$B$12)^(G17-1)</f>
        <v>0.990025</v>
      </c>
      <c r="H27" s="62" t="n">
        <f aca="false">(1-$B$12)^(H17-1)</f>
        <v>0.985074875</v>
      </c>
      <c r="I27" s="62" t="n">
        <f aca="false">(1-$B$12)^(I17-1)</f>
        <v>0.980149500625</v>
      </c>
      <c r="J27" s="62" t="n">
        <f aca="false">(1-$B$12)^(J17-1)</f>
        <v>0.975248753121875</v>
      </c>
      <c r="K27" s="62" t="n">
        <f aca="false">(1-$B$12)^(K17-1)</f>
        <v>0.970372509356266</v>
      </c>
      <c r="L27" s="62" t="n">
        <f aca="false">(1-$B$12)^(L17-1)</f>
        <v>0.965520646809484</v>
      </c>
      <c r="M27" s="62" t="n">
        <f aca="false">(1-$B$12)^(M17-1)</f>
        <v>0.960693043575437</v>
      </c>
      <c r="N27" s="62" t="n">
        <f aca="false">(1-$B$12)^(N17-1)</f>
        <v>0.95588957835756</v>
      </c>
      <c r="O27" s="62" t="n">
        <f aca="false">(1-$B$12)^(O17-1)</f>
        <v>0.951110130465772</v>
      </c>
      <c r="P27" s="62" t="n">
        <f aca="false">(1-$B$12)^(P17-1)</f>
        <v>0.946354579813443</v>
      </c>
      <c r="Q27" s="62" t="n">
        <f aca="false">(1-$B$12)^(Q17-1)</f>
        <v>0.941622806914376</v>
      </c>
      <c r="R27" s="62" t="n">
        <f aca="false">(1-$B$12)^(R17-1)</f>
        <v>0.936914692879804</v>
      </c>
      <c r="S27" s="62" t="n">
        <f aca="false">(1-$B$12)^(S17-1)</f>
        <v>0.932230119415405</v>
      </c>
      <c r="T27" s="62" t="n">
        <f aca="false">(1-$B$12)^(T17-1)</f>
        <v>0.927568968818328</v>
      </c>
      <c r="U27" s="62" t="n">
        <f aca="false">(1-$B$12)^(U17-1)</f>
        <v>0.922931123974236</v>
      </c>
      <c r="V27" s="62" t="n">
        <f aca="false">(1-$B$12)^(V17-1)</f>
        <v>0.918316468354365</v>
      </c>
      <c r="W27" s="62" t="n">
        <f aca="false">(1-$B$12)^(W17-1)</f>
        <v>0.913724886012593</v>
      </c>
      <c r="X27" s="62" t="n">
        <f aca="false">(1-$B$12)^(X17-1)</f>
        <v>0.90915626158253</v>
      </c>
      <c r="Y27" s="62" t="n">
        <f aca="false">(1-$B$12)^(Y17-1)</f>
        <v>0.904610480274618</v>
      </c>
      <c r="Z27" s="62" t="n">
        <f aca="false">(1-$B$12)^(Z17-1)</f>
        <v>0.900087427873245</v>
      </c>
      <c r="AA27" s="62" t="n">
        <f aca="false">(1-$B$12)^(AA17-1)</f>
        <v>0.895586990733878</v>
      </c>
      <c r="AB27" s="62" t="n">
        <f aca="false">(1-$B$12)^(AB17-1)</f>
        <v>0.891109055780209</v>
      </c>
      <c r="AC27" s="62" t="n">
        <f aca="false">(1-$B$12)^(AC17-1)</f>
        <v>0.886653510501308</v>
      </c>
      <c r="AD27" s="62" t="n">
        <f aca="false">(1-$B$12)^(AD17-1)</f>
        <v>0.882220242948801</v>
      </c>
      <c r="AE27" s="62" t="n">
        <f aca="false">(1-$B$12)^(AE17-1)</f>
        <v>0.877809141734057</v>
      </c>
      <c r="AF27" s="62" t="n">
        <f aca="false">(1-$B$12)^(AF17-1)</f>
        <v>0.873420096025387</v>
      </c>
      <c r="AG27" s="62" t="n">
        <f aca="false">(1-$B$12)^(AG17-1)</f>
        <v>0.86905299554526</v>
      </c>
      <c r="AH27" s="62" t="n">
        <f aca="false">(1-$B$12)^(AH17-1)</f>
        <v>0.864707730567534</v>
      </c>
      <c r="AI27" s="62" t="n">
        <f aca="false">(1-$B$12)^(AI17-1)</f>
        <v>0.860384191914696</v>
      </c>
      <c r="AJ27" s="62" t="n">
        <f aca="false">(1-$B$12)^(AJ17-1)</f>
        <v>0.856082270955123</v>
      </c>
      <c r="AK27" s="62" t="n">
        <f aca="false">(1-$B$12)^(AK17-1)</f>
        <v>0.851801859600347</v>
      </c>
      <c r="AL27" s="62" t="n">
        <f aca="false">(1-$B$12)^(AL17-1)</f>
        <v>0.847542850302345</v>
      </c>
      <c r="AM27" s="62" t="n">
        <f aca="false">(1-$B$12)^(AM17-1)</f>
        <v>0.843305136050834</v>
      </c>
    </row>
    <row r="28" customFormat="false" ht="15" hidden="false" customHeight="true" outlineLevel="0" collapsed="false">
      <c r="A28" s="8" t="s">
        <v>338</v>
      </c>
      <c r="C28" s="10" t="s">
        <v>12</v>
      </c>
      <c r="D28" s="59" t="n">
        <f aca="false">SUM(E28:AM28)</f>
        <v>1823689.23436504</v>
      </c>
      <c r="E28" s="33" t="n">
        <f aca="false">E26*E27</f>
        <v>56667.5</v>
      </c>
      <c r="F28" s="33" t="n">
        <f aca="false">F26*F27</f>
        <v>56384.1625</v>
      </c>
      <c r="G28" s="33" t="n">
        <f aca="false">G26*G27</f>
        <v>56102.2416875</v>
      </c>
      <c r="H28" s="33" t="n">
        <f aca="false">H26*H27</f>
        <v>55821.7304790625</v>
      </c>
      <c r="I28" s="33" t="n">
        <f aca="false">I26*I27</f>
        <v>55542.6218266672</v>
      </c>
      <c r="J28" s="33" t="n">
        <f aca="false">J26*J27</f>
        <v>55264.9087175339</v>
      </c>
      <c r="K28" s="33" t="n">
        <f aca="false">K26*K27</f>
        <v>54988.5841739462</v>
      </c>
      <c r="L28" s="33" t="n">
        <f aca="false">L26*L27</f>
        <v>54713.6412530765</v>
      </c>
      <c r="M28" s="33" t="n">
        <f aca="false">M26*M27</f>
        <v>54440.0730468111</v>
      </c>
      <c r="N28" s="33" t="n">
        <f aca="false">N26*N27</f>
        <v>54167.872681577</v>
      </c>
      <c r="O28" s="33" t="n">
        <f aca="false">O26*O27</f>
        <v>53897.0333181691</v>
      </c>
      <c r="P28" s="33" t="n">
        <f aca="false">P26*P27</f>
        <v>53627.5481515783</v>
      </c>
      <c r="Q28" s="33" t="n">
        <f aca="false">Q26*Q27</f>
        <v>53359.4104108204</v>
      </c>
      <c r="R28" s="33" t="n">
        <f aca="false">R26*R27</f>
        <v>53092.6133587663</v>
      </c>
      <c r="S28" s="33" t="n">
        <f aca="false">S26*S27</f>
        <v>52827.1502919725</v>
      </c>
      <c r="T28" s="33" t="n">
        <f aca="false">T26*T27</f>
        <v>52563.0145405126</v>
      </c>
      <c r="U28" s="33" t="n">
        <f aca="false">U26*U27</f>
        <v>52300.19946781</v>
      </c>
      <c r="V28" s="33" t="n">
        <f aca="false">V26*V27</f>
        <v>52038.698470471</v>
      </c>
      <c r="W28" s="33" t="n">
        <f aca="false">W26*W27</f>
        <v>51778.5049781186</v>
      </c>
      <c r="X28" s="33" t="n">
        <f aca="false">X26*X27</f>
        <v>51519.612453228</v>
      </c>
      <c r="Y28" s="33" t="n">
        <f aca="false">Y26*Y27</f>
        <v>51262.0143909619</v>
      </c>
      <c r="Z28" s="33" t="n">
        <f aca="false">Z26*Z27</f>
        <v>51005.7043190071</v>
      </c>
      <c r="AA28" s="33" t="n">
        <f aca="false">AA26*AA27</f>
        <v>50750.6757974121</v>
      </c>
      <c r="AB28" s="33" t="n">
        <f aca="false">AB26*AB27</f>
        <v>50496.922418425</v>
      </c>
      <c r="AC28" s="33" t="n">
        <f aca="false">AC26*AC27</f>
        <v>50244.4378063329</v>
      </c>
      <c r="AD28" s="33" t="n">
        <f aca="false">AD26*AD27</f>
        <v>49993.2156173012</v>
      </c>
      <c r="AE28" s="33" t="n">
        <f aca="false">AE26*AE27</f>
        <v>49743.2495392147</v>
      </c>
      <c r="AF28" s="33" t="n">
        <f aca="false">AF26*AF27</f>
        <v>49494.5332915186</v>
      </c>
      <c r="AG28" s="33" t="n">
        <f aca="false">AG26*AG27</f>
        <v>49247.060625061</v>
      </c>
      <c r="AH28" s="33" t="n">
        <f aca="false">AH26*AH27</f>
        <v>49000.8253219357</v>
      </c>
      <c r="AI28" s="33" t="n">
        <f aca="false">AI26*AI27</f>
        <v>48755.821195326</v>
      </c>
      <c r="AJ28" s="33" t="n">
        <f aca="false">AJ26*AJ27</f>
        <v>48512.0420893494</v>
      </c>
      <c r="AK28" s="33" t="n">
        <f aca="false">AK26*AK27</f>
        <v>48269.4818789027</v>
      </c>
      <c r="AL28" s="33" t="n">
        <f aca="false">AL26*AL27</f>
        <v>48028.1344695082</v>
      </c>
      <c r="AM28" s="33" t="n">
        <f aca="false">AM26*AM27</f>
        <v>47787.9937971606</v>
      </c>
    </row>
    <row r="30" customFormat="false" ht="15" hidden="false" customHeight="true" outlineLevel="0" collapsed="false">
      <c r="A30" s="57" t="s">
        <v>339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</row>
    <row r="31" customFormat="false" ht="15" hidden="false" customHeight="true" outlineLevel="0" collapsed="false">
      <c r="A31" s="8" t="s">
        <v>340</v>
      </c>
      <c r="C31" s="10" t="s">
        <v>20</v>
      </c>
      <c r="E31" s="68" t="n">
        <f aca="false">$B$13*(1+$B$15)*E21*E19</f>
        <v>60</v>
      </c>
      <c r="F31" s="68" t="n">
        <f aca="false">$B$13*(1+$B$15)*F21*F19</f>
        <v>60.6</v>
      </c>
      <c r="G31" s="68" t="n">
        <f aca="false">$B$13*(1+$B$15)*G21*G19</f>
        <v>61.206</v>
      </c>
      <c r="H31" s="68" t="n">
        <f aca="false">$B$13*(1+$B$15)*H21*H19</f>
        <v>61.81806</v>
      </c>
      <c r="I31" s="68" t="n">
        <f aca="false">$B$13*(1+$B$15)*I21*I19</f>
        <v>62.4362406</v>
      </c>
      <c r="J31" s="68" t="n">
        <f aca="false">$B$13*(1+$B$15)*J21*J19</f>
        <v>63.060603006</v>
      </c>
      <c r="K31" s="68" t="n">
        <f aca="false">$B$13*(1+$B$15)*K21*K19</f>
        <v>63.69120903606</v>
      </c>
      <c r="L31" s="68" t="n">
        <f aca="false">$B$13*(1+$B$15)*L21*L19</f>
        <v>64.3281211264206</v>
      </c>
      <c r="M31" s="68" t="n">
        <f aca="false">$B$13*(1+$B$15)*M21*M19</f>
        <v>64.9714023376848</v>
      </c>
      <c r="N31" s="68" t="n">
        <f aca="false">$B$13*(1+$B$15)*N21*N19</f>
        <v>65.6211163610617</v>
      </c>
      <c r="O31" s="68" t="n">
        <f aca="false">$B$13*(1+$B$15)*O21*O19</f>
        <v>66.2773275246723</v>
      </c>
      <c r="P31" s="68" t="n">
        <f aca="false">$B$13*(1+$B$15)*P21*P19</f>
        <v>66.940100799919</v>
      </c>
      <c r="Q31" s="68" t="n">
        <f aca="false">$B$13*(1+$B$15)*Q21*Q19</f>
        <v>67.6095018079182</v>
      </c>
      <c r="R31" s="68" t="n">
        <f aca="false">$B$13*(1+$B$15)*R21*R19</f>
        <v>68.2855968259974</v>
      </c>
      <c r="S31" s="68" t="n">
        <f aca="false">$B$13*(1+$B$15)*S21*S19</f>
        <v>68.9684527942574</v>
      </c>
      <c r="T31" s="68" t="n">
        <f aca="false">$B$13*(1+$B$15)*T21*T19</f>
        <v>69.6581373221999</v>
      </c>
      <c r="U31" s="68" t="n">
        <f aca="false">$B$13*(1+$B$15)*U21*U19</f>
        <v>70.3547186954219</v>
      </c>
      <c r="V31" s="68" t="n">
        <f aca="false">$B$13*(1+$B$15)*V21*V19</f>
        <v>71.0582658823761</v>
      </c>
      <c r="W31" s="68" t="n">
        <f aca="false">$B$13*(1+$B$15)*W21*W19</f>
        <v>71.7688485411999</v>
      </c>
      <c r="X31" s="68" t="n">
        <f aca="false">$B$13*(1+$B$15)*X21*X19</f>
        <v>72.4865370266119</v>
      </c>
      <c r="Y31" s="68" t="n">
        <f aca="false">$B$13*(1+$B$15)*Y21*Y19</f>
        <v>0</v>
      </c>
      <c r="Z31" s="68" t="n">
        <f aca="false">$B$13*(1+$B$15)*Z21*Z19</f>
        <v>0</v>
      </c>
      <c r="AA31" s="68" t="n">
        <f aca="false">$B$13*(1+$B$15)*AA21*AA19</f>
        <v>0</v>
      </c>
      <c r="AB31" s="68" t="n">
        <f aca="false">$B$13*(1+$B$15)*AB21*AB19</f>
        <v>0</v>
      </c>
      <c r="AC31" s="68" t="n">
        <f aca="false">$B$13*(1+$B$15)*AC21*AC19</f>
        <v>0</v>
      </c>
      <c r="AD31" s="68" t="n">
        <f aca="false">$B$13*(1+$B$15)*AD21*AD19</f>
        <v>0</v>
      </c>
      <c r="AE31" s="68" t="n">
        <f aca="false">$B$13*(1+$B$15)*AE21*AE19</f>
        <v>0</v>
      </c>
      <c r="AF31" s="68" t="n">
        <f aca="false">$B$13*(1+$B$15)*AF21*AF19</f>
        <v>0</v>
      </c>
      <c r="AG31" s="68" t="n">
        <f aca="false">$B$13*(1+$B$15)*AG21*AG19</f>
        <v>0</v>
      </c>
      <c r="AH31" s="68" t="n">
        <f aca="false">$B$13*(1+$B$15)*AH21*AH19</f>
        <v>0</v>
      </c>
      <c r="AI31" s="68" t="n">
        <f aca="false">$B$13*(1+$B$15)*AI21*AI19</f>
        <v>0</v>
      </c>
      <c r="AJ31" s="68" t="n">
        <f aca="false">$B$13*(1+$B$15)*AJ21*AJ19</f>
        <v>0</v>
      </c>
      <c r="AK31" s="68" t="n">
        <f aca="false">$B$13*(1+$B$15)*AK21*AK19</f>
        <v>0</v>
      </c>
      <c r="AL31" s="68" t="n">
        <f aca="false">$B$13*(1+$B$15)*AL21*AL19</f>
        <v>0</v>
      </c>
      <c r="AM31" s="68" t="n">
        <f aca="false">$B$13*(1+$B$15)*AM21*AM19</f>
        <v>0</v>
      </c>
    </row>
    <row r="32" customFormat="false" ht="15" hidden="false" customHeight="true" outlineLevel="0" collapsed="false">
      <c r="A32" s="8" t="s">
        <v>341</v>
      </c>
      <c r="C32" s="10" t="s">
        <v>20</v>
      </c>
      <c r="E32" s="68" t="n">
        <f aca="false">$B$14*(1+$B$15)*E20</f>
        <v>0</v>
      </c>
      <c r="F32" s="68" t="n">
        <f aca="false">$B$14*(1+$B$15)*F20</f>
        <v>0</v>
      </c>
      <c r="G32" s="68" t="n">
        <f aca="false">$B$14*(1+$B$15)*G20</f>
        <v>0</v>
      </c>
      <c r="H32" s="68" t="n">
        <f aca="false">$B$14*(1+$B$15)*H20</f>
        <v>0</v>
      </c>
      <c r="I32" s="68" t="n">
        <f aca="false">$B$14*(1+$B$15)*I20</f>
        <v>0</v>
      </c>
      <c r="J32" s="68" t="n">
        <f aca="false">$B$14*(1+$B$15)*J20</f>
        <v>0</v>
      </c>
      <c r="K32" s="68" t="n">
        <f aca="false">$B$14*(1+$B$15)*K20</f>
        <v>0</v>
      </c>
      <c r="L32" s="68" t="n">
        <f aca="false">$B$14*(1+$B$15)*L20</f>
        <v>0</v>
      </c>
      <c r="M32" s="68" t="n">
        <f aca="false">$B$14*(1+$B$15)*M20</f>
        <v>0</v>
      </c>
      <c r="N32" s="68" t="n">
        <f aca="false">$B$14*(1+$B$15)*N20</f>
        <v>0</v>
      </c>
      <c r="O32" s="68" t="n">
        <f aca="false">$B$14*(1+$B$15)*O20</f>
        <v>0</v>
      </c>
      <c r="P32" s="68" t="n">
        <f aca="false">$B$14*(1+$B$15)*P20</f>
        <v>0</v>
      </c>
      <c r="Q32" s="68" t="n">
        <f aca="false">$B$14*(1+$B$15)*Q20</f>
        <v>0</v>
      </c>
      <c r="R32" s="68" t="n">
        <f aca="false">$B$14*(1+$B$15)*R20</f>
        <v>0</v>
      </c>
      <c r="S32" s="68" t="n">
        <f aca="false">$B$14*(1+$B$15)*S20</f>
        <v>0</v>
      </c>
      <c r="T32" s="68" t="n">
        <f aca="false">$B$14*(1+$B$15)*T20</f>
        <v>0</v>
      </c>
      <c r="U32" s="68" t="n">
        <f aca="false">$B$14*(1+$B$15)*U20</f>
        <v>0</v>
      </c>
      <c r="V32" s="68" t="n">
        <f aca="false">$B$14*(1+$B$15)*V20</f>
        <v>0</v>
      </c>
      <c r="W32" s="68" t="n">
        <f aca="false">$B$14*(1+$B$15)*W20</f>
        <v>0</v>
      </c>
      <c r="X32" s="68" t="n">
        <f aca="false">$B$14*(1+$B$15)*X20</f>
        <v>0</v>
      </c>
      <c r="Y32" s="68" t="n">
        <f aca="false">$B$14*(1+$B$15)*Y20</f>
        <v>40</v>
      </c>
      <c r="Z32" s="68" t="n">
        <f aca="false">$B$14*(1+$B$15)*Z20</f>
        <v>40</v>
      </c>
      <c r="AA32" s="68" t="n">
        <f aca="false">$B$14*(1+$B$15)*AA20</f>
        <v>40</v>
      </c>
      <c r="AB32" s="68" t="n">
        <f aca="false">$B$14*(1+$B$15)*AB20</f>
        <v>40</v>
      </c>
      <c r="AC32" s="68" t="n">
        <f aca="false">$B$14*(1+$B$15)*AC20</f>
        <v>40</v>
      </c>
      <c r="AD32" s="68" t="n">
        <f aca="false">$B$14*(1+$B$15)*AD20</f>
        <v>40</v>
      </c>
      <c r="AE32" s="68" t="n">
        <f aca="false">$B$14*(1+$B$15)*AE20</f>
        <v>40</v>
      </c>
      <c r="AF32" s="68" t="n">
        <f aca="false">$B$14*(1+$B$15)*AF20</f>
        <v>40</v>
      </c>
      <c r="AG32" s="68" t="n">
        <f aca="false">$B$14*(1+$B$15)*AG20</f>
        <v>40</v>
      </c>
      <c r="AH32" s="68" t="n">
        <f aca="false">$B$14*(1+$B$15)*AH20</f>
        <v>40</v>
      </c>
      <c r="AI32" s="68" t="n">
        <f aca="false">$B$14*(1+$B$15)*AI20</f>
        <v>40</v>
      </c>
      <c r="AJ32" s="68" t="n">
        <f aca="false">$B$14*(1+$B$15)*AJ20</f>
        <v>40</v>
      </c>
      <c r="AK32" s="68" t="n">
        <f aca="false">$B$14*(1+$B$15)*AK20</f>
        <v>40</v>
      </c>
      <c r="AL32" s="68" t="n">
        <f aca="false">$B$14*(1+$B$15)*AL20</f>
        <v>40</v>
      </c>
      <c r="AM32" s="68" t="n">
        <f aca="false">$B$14*(1+$B$15)*AM20</f>
        <v>40</v>
      </c>
    </row>
    <row r="33" customFormat="false" ht="15" hidden="false" customHeight="true" outlineLevel="0" collapsed="false">
      <c r="A33" s="8" t="s">
        <v>342</v>
      </c>
      <c r="C33" s="10" t="s">
        <v>20</v>
      </c>
      <c r="E33" s="68" t="n">
        <f aca="false">E31+E32</f>
        <v>60</v>
      </c>
      <c r="F33" s="68" t="n">
        <f aca="false">F31+F32</f>
        <v>60.6</v>
      </c>
      <c r="G33" s="68" t="n">
        <f aca="false">G31+G32</f>
        <v>61.206</v>
      </c>
      <c r="H33" s="68" t="n">
        <f aca="false">H31+H32</f>
        <v>61.81806</v>
      </c>
      <c r="I33" s="68" t="n">
        <f aca="false">I31+I32</f>
        <v>62.4362406</v>
      </c>
      <c r="J33" s="68" t="n">
        <f aca="false">J31+J32</f>
        <v>63.060603006</v>
      </c>
      <c r="K33" s="68" t="n">
        <f aca="false">K31+K32</f>
        <v>63.69120903606</v>
      </c>
      <c r="L33" s="68" t="n">
        <f aca="false">L31+L32</f>
        <v>64.3281211264206</v>
      </c>
      <c r="M33" s="68" t="n">
        <f aca="false">M31+M32</f>
        <v>64.9714023376848</v>
      </c>
      <c r="N33" s="68" t="n">
        <f aca="false">N31+N32</f>
        <v>65.6211163610617</v>
      </c>
      <c r="O33" s="68" t="n">
        <f aca="false">O31+O32</f>
        <v>66.2773275246723</v>
      </c>
      <c r="P33" s="68" t="n">
        <f aca="false">P31+P32</f>
        <v>66.940100799919</v>
      </c>
      <c r="Q33" s="68" t="n">
        <f aca="false">Q31+Q32</f>
        <v>67.6095018079182</v>
      </c>
      <c r="R33" s="68" t="n">
        <f aca="false">R31+R32</f>
        <v>68.2855968259974</v>
      </c>
      <c r="S33" s="68" t="n">
        <f aca="false">S31+S32</f>
        <v>68.9684527942574</v>
      </c>
      <c r="T33" s="68" t="n">
        <f aca="false">T31+T32</f>
        <v>69.6581373221999</v>
      </c>
      <c r="U33" s="68" t="n">
        <f aca="false">U31+U32</f>
        <v>70.3547186954219</v>
      </c>
      <c r="V33" s="68" t="n">
        <f aca="false">V31+V32</f>
        <v>71.0582658823761</v>
      </c>
      <c r="W33" s="68" t="n">
        <f aca="false">W31+W32</f>
        <v>71.7688485411999</v>
      </c>
      <c r="X33" s="68" t="n">
        <f aca="false">X31+X32</f>
        <v>72.4865370266119</v>
      </c>
      <c r="Y33" s="68" t="n">
        <f aca="false">Y31+Y32</f>
        <v>40</v>
      </c>
      <c r="Z33" s="68" t="n">
        <f aca="false">Z31+Z32</f>
        <v>40</v>
      </c>
      <c r="AA33" s="68" t="n">
        <f aca="false">AA31+AA32</f>
        <v>40</v>
      </c>
      <c r="AB33" s="68" t="n">
        <f aca="false">AB31+AB32</f>
        <v>40</v>
      </c>
      <c r="AC33" s="68" t="n">
        <f aca="false">AC31+AC32</f>
        <v>40</v>
      </c>
      <c r="AD33" s="68" t="n">
        <f aca="false">AD31+AD32</f>
        <v>40</v>
      </c>
      <c r="AE33" s="68" t="n">
        <f aca="false">AE31+AE32</f>
        <v>40</v>
      </c>
      <c r="AF33" s="68" t="n">
        <f aca="false">AF31+AF32</f>
        <v>40</v>
      </c>
      <c r="AG33" s="68" t="n">
        <f aca="false">AG31+AG32</f>
        <v>40</v>
      </c>
      <c r="AH33" s="68" t="n">
        <f aca="false">AH31+AH32</f>
        <v>40</v>
      </c>
      <c r="AI33" s="68" t="n">
        <f aca="false">AI31+AI32</f>
        <v>40</v>
      </c>
      <c r="AJ33" s="68" t="n">
        <f aca="false">AJ31+AJ32</f>
        <v>40</v>
      </c>
      <c r="AK33" s="68" t="n">
        <f aca="false">AK31+AK32</f>
        <v>40</v>
      </c>
      <c r="AL33" s="68" t="n">
        <f aca="false">AL31+AL32</f>
        <v>40</v>
      </c>
      <c r="AM33" s="68" t="n">
        <f aca="false">AM31+AM32</f>
        <v>40</v>
      </c>
    </row>
    <row r="35" customFormat="false" ht="15" hidden="false" customHeight="true" outlineLevel="0" collapsed="false">
      <c r="A35" s="57" t="s">
        <v>343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</row>
    <row r="36" customFormat="false" ht="15" hidden="false" customHeight="true" outlineLevel="0" collapsed="false">
      <c r="A36" s="8" t="s">
        <v>344</v>
      </c>
      <c r="C36" s="10" t="s">
        <v>29</v>
      </c>
      <c r="D36" s="59" t="n">
        <f aca="false">SUM(E36:AM36)</f>
        <v>71295750.1517703</v>
      </c>
      <c r="E36" s="64" t="n">
        <f aca="false">E28*E31</f>
        <v>3400050</v>
      </c>
      <c r="F36" s="64" t="n">
        <f aca="false">F28*F31</f>
        <v>3416880.2475</v>
      </c>
      <c r="G36" s="64" t="n">
        <f aca="false">G28*G31</f>
        <v>3433793.80472513</v>
      </c>
      <c r="H36" s="64" t="n">
        <f aca="false">H28*H31</f>
        <v>3450791.08405852</v>
      </c>
      <c r="I36" s="64" t="n">
        <f aca="false">I28*I31</f>
        <v>3467872.4999246</v>
      </c>
      <c r="J36" s="64" t="n">
        <f aca="false">J28*J31</f>
        <v>3485038.46879923</v>
      </c>
      <c r="K36" s="64" t="n">
        <f aca="false">K28*K31</f>
        <v>3502289.40921979</v>
      </c>
      <c r="L36" s="64" t="n">
        <f aca="false">L28*L31</f>
        <v>3519625.74179543</v>
      </c>
      <c r="M36" s="64" t="n">
        <f aca="false">M28*M31</f>
        <v>3537047.88921731</v>
      </c>
      <c r="N36" s="64" t="n">
        <f aca="false">N28*N31</f>
        <v>3554556.27626894</v>
      </c>
      <c r="O36" s="64" t="n">
        <f aca="false">O28*O31</f>
        <v>3572151.32983647</v>
      </c>
      <c r="P36" s="64" t="n">
        <f aca="false">P28*P31</f>
        <v>3589833.47891916</v>
      </c>
      <c r="Q36" s="64" t="n">
        <f aca="false">Q28*Q31</f>
        <v>3607603.15463981</v>
      </c>
      <c r="R36" s="64" t="n">
        <f aca="false">R28*R31</f>
        <v>3625460.79025528</v>
      </c>
      <c r="S36" s="64" t="n">
        <f aca="false">S28*S31</f>
        <v>3643406.82116704</v>
      </c>
      <c r="T36" s="64" t="n">
        <f aca="false">T28*T31</f>
        <v>3661441.68493182</v>
      </c>
      <c r="U36" s="64" t="n">
        <f aca="false">U28*U31</f>
        <v>3679565.82127223</v>
      </c>
      <c r="V36" s="64" t="n">
        <f aca="false">V28*V31</f>
        <v>3697779.67208753</v>
      </c>
      <c r="W36" s="64" t="n">
        <f aca="false">W28*W31</f>
        <v>3716083.68146436</v>
      </c>
      <c r="X36" s="64" t="n">
        <f aca="false">X28*X31</f>
        <v>3734478.29568761</v>
      </c>
      <c r="Y36" s="64" t="n">
        <f aca="false">Y28*Y31</f>
        <v>0</v>
      </c>
      <c r="Z36" s="64" t="n">
        <f aca="false">Z28*Z31</f>
        <v>0</v>
      </c>
      <c r="AA36" s="64" t="n">
        <f aca="false">AA28*AA31</f>
        <v>0</v>
      </c>
      <c r="AB36" s="64" t="n">
        <f aca="false">AB28*AB31</f>
        <v>0</v>
      </c>
      <c r="AC36" s="64" t="n">
        <f aca="false">AC28*AC31</f>
        <v>0</v>
      </c>
      <c r="AD36" s="64" t="n">
        <f aca="false">AD28*AD31</f>
        <v>0</v>
      </c>
      <c r="AE36" s="64" t="n">
        <f aca="false">AE28*AE31</f>
        <v>0</v>
      </c>
      <c r="AF36" s="64" t="n">
        <f aca="false">AF28*AF31</f>
        <v>0</v>
      </c>
      <c r="AG36" s="64" t="n">
        <f aca="false">AG28*AG31</f>
        <v>0</v>
      </c>
      <c r="AH36" s="64" t="n">
        <f aca="false">AH28*AH31</f>
        <v>0</v>
      </c>
      <c r="AI36" s="64" t="n">
        <f aca="false">AI28*AI31</f>
        <v>0</v>
      </c>
      <c r="AJ36" s="64" t="n">
        <f aca="false">AJ28*AJ31</f>
        <v>0</v>
      </c>
      <c r="AK36" s="64" t="n">
        <f aca="false">AK28*AK31</f>
        <v>0</v>
      </c>
      <c r="AL36" s="64" t="n">
        <f aca="false">AL28*AL31</f>
        <v>0</v>
      </c>
      <c r="AM36" s="64" t="n">
        <f aca="false">AM28*AM31</f>
        <v>0</v>
      </c>
    </row>
    <row r="37" customFormat="false" ht="15" hidden="false" customHeight="true" outlineLevel="0" collapsed="false">
      <c r="A37" s="8" t="s">
        <v>345</v>
      </c>
      <c r="C37" s="10" t="s">
        <v>29</v>
      </c>
      <c r="D37" s="59" t="n">
        <f aca="false">SUM(E37:AM37)</f>
        <v>29703684.5022967</v>
      </c>
      <c r="E37" s="64" t="n">
        <f aca="false">E28*E32</f>
        <v>0</v>
      </c>
      <c r="F37" s="64" t="n">
        <f aca="false">F28*F32</f>
        <v>0</v>
      </c>
      <c r="G37" s="64" t="n">
        <f aca="false">G28*G32</f>
        <v>0</v>
      </c>
      <c r="H37" s="64" t="n">
        <f aca="false">H28*H32</f>
        <v>0</v>
      </c>
      <c r="I37" s="64" t="n">
        <f aca="false">I28*I32</f>
        <v>0</v>
      </c>
      <c r="J37" s="64" t="n">
        <f aca="false">J28*J32</f>
        <v>0</v>
      </c>
      <c r="K37" s="64" t="n">
        <f aca="false">K28*K32</f>
        <v>0</v>
      </c>
      <c r="L37" s="64" t="n">
        <f aca="false">L28*L32</f>
        <v>0</v>
      </c>
      <c r="M37" s="64" t="n">
        <f aca="false">M28*M32</f>
        <v>0</v>
      </c>
      <c r="N37" s="64" t="n">
        <f aca="false">N28*N32</f>
        <v>0</v>
      </c>
      <c r="O37" s="64" t="n">
        <f aca="false">O28*O32</f>
        <v>0</v>
      </c>
      <c r="P37" s="64" t="n">
        <f aca="false">P28*P32</f>
        <v>0</v>
      </c>
      <c r="Q37" s="64" t="n">
        <f aca="false">Q28*Q32</f>
        <v>0</v>
      </c>
      <c r="R37" s="64" t="n">
        <f aca="false">R28*R32</f>
        <v>0</v>
      </c>
      <c r="S37" s="64" t="n">
        <f aca="false">S28*S32</f>
        <v>0</v>
      </c>
      <c r="T37" s="64" t="n">
        <f aca="false">T28*T32</f>
        <v>0</v>
      </c>
      <c r="U37" s="64" t="n">
        <f aca="false">U28*U32</f>
        <v>0</v>
      </c>
      <c r="V37" s="64" t="n">
        <f aca="false">V28*V32</f>
        <v>0</v>
      </c>
      <c r="W37" s="64" t="n">
        <f aca="false">W28*W32</f>
        <v>0</v>
      </c>
      <c r="X37" s="64" t="n">
        <f aca="false">X28*X32</f>
        <v>0</v>
      </c>
      <c r="Y37" s="64" t="n">
        <f aca="false">Y28*Y32</f>
        <v>2050480.57563848</v>
      </c>
      <c r="Z37" s="64" t="n">
        <f aca="false">Z28*Z32</f>
        <v>2040228.17276028</v>
      </c>
      <c r="AA37" s="64" t="n">
        <f aca="false">AA28*AA32</f>
        <v>2030027.03189648</v>
      </c>
      <c r="AB37" s="64" t="n">
        <f aca="false">AB28*AB32</f>
        <v>2019876.896737</v>
      </c>
      <c r="AC37" s="64" t="n">
        <f aca="false">AC28*AC32</f>
        <v>2009777.51225331</v>
      </c>
      <c r="AD37" s="64" t="n">
        <f aca="false">AD28*AD32</f>
        <v>1999728.62469205</v>
      </c>
      <c r="AE37" s="64" t="n">
        <f aca="false">AE28*AE32</f>
        <v>1989729.98156859</v>
      </c>
      <c r="AF37" s="64" t="n">
        <f aca="false">AF28*AF32</f>
        <v>1979781.33166074</v>
      </c>
      <c r="AG37" s="64" t="n">
        <f aca="false">AG28*AG32</f>
        <v>1969882.42500244</v>
      </c>
      <c r="AH37" s="64" t="n">
        <f aca="false">AH28*AH32</f>
        <v>1960033.01287743</v>
      </c>
      <c r="AI37" s="64" t="n">
        <f aca="false">AI28*AI32</f>
        <v>1950232.84781304</v>
      </c>
      <c r="AJ37" s="64" t="n">
        <f aca="false">AJ28*AJ32</f>
        <v>1940481.68357398</v>
      </c>
      <c r="AK37" s="64" t="n">
        <f aca="false">AK28*AK32</f>
        <v>1930779.27515611</v>
      </c>
      <c r="AL37" s="64" t="n">
        <f aca="false">AL28*AL32</f>
        <v>1921125.37878033</v>
      </c>
      <c r="AM37" s="64" t="n">
        <f aca="false">AM28*AM32</f>
        <v>1911519.75188642</v>
      </c>
    </row>
    <row r="38" customFormat="false" ht="15" hidden="false" customHeight="true" outlineLevel="0" collapsed="false">
      <c r="A38" s="8" t="s">
        <v>346</v>
      </c>
      <c r="C38" s="10" t="s">
        <v>29</v>
      </c>
      <c r="D38" s="59" t="n">
        <f aca="false">SUM(E38:AM38)</f>
        <v>100999434.654067</v>
      </c>
      <c r="E38" s="44" t="n">
        <f aca="false">E36+E37</f>
        <v>3400050</v>
      </c>
      <c r="F38" s="44" t="n">
        <f aca="false">F36+F37</f>
        <v>3416880.2475</v>
      </c>
      <c r="G38" s="44" t="n">
        <f aca="false">G36+G37</f>
        <v>3433793.80472513</v>
      </c>
      <c r="H38" s="44" t="n">
        <f aca="false">H36+H37</f>
        <v>3450791.08405852</v>
      </c>
      <c r="I38" s="44" t="n">
        <f aca="false">I36+I37</f>
        <v>3467872.4999246</v>
      </c>
      <c r="J38" s="44" t="n">
        <f aca="false">J36+J37</f>
        <v>3485038.46879923</v>
      </c>
      <c r="K38" s="44" t="n">
        <f aca="false">K36+K37</f>
        <v>3502289.40921979</v>
      </c>
      <c r="L38" s="44" t="n">
        <f aca="false">L36+L37</f>
        <v>3519625.74179543</v>
      </c>
      <c r="M38" s="44" t="n">
        <f aca="false">M36+M37</f>
        <v>3537047.88921731</v>
      </c>
      <c r="N38" s="44" t="n">
        <f aca="false">N36+N37</f>
        <v>3554556.27626894</v>
      </c>
      <c r="O38" s="44" t="n">
        <f aca="false">O36+O37</f>
        <v>3572151.32983647</v>
      </c>
      <c r="P38" s="44" t="n">
        <f aca="false">P36+P37</f>
        <v>3589833.47891916</v>
      </c>
      <c r="Q38" s="44" t="n">
        <f aca="false">Q36+Q37</f>
        <v>3607603.15463981</v>
      </c>
      <c r="R38" s="44" t="n">
        <f aca="false">R36+R37</f>
        <v>3625460.79025528</v>
      </c>
      <c r="S38" s="44" t="n">
        <f aca="false">S36+S37</f>
        <v>3643406.82116704</v>
      </c>
      <c r="T38" s="44" t="n">
        <f aca="false">T36+T37</f>
        <v>3661441.68493182</v>
      </c>
      <c r="U38" s="44" t="n">
        <f aca="false">U36+U37</f>
        <v>3679565.82127223</v>
      </c>
      <c r="V38" s="44" t="n">
        <f aca="false">V36+V37</f>
        <v>3697779.67208753</v>
      </c>
      <c r="W38" s="44" t="n">
        <f aca="false">W36+W37</f>
        <v>3716083.68146436</v>
      </c>
      <c r="X38" s="44" t="n">
        <f aca="false">X36+X37</f>
        <v>3734478.29568761</v>
      </c>
      <c r="Y38" s="44" t="n">
        <f aca="false">Y36+Y37</f>
        <v>2050480.57563848</v>
      </c>
      <c r="Z38" s="44" t="n">
        <f aca="false">Z36+Z37</f>
        <v>2040228.17276028</v>
      </c>
      <c r="AA38" s="44" t="n">
        <f aca="false">AA36+AA37</f>
        <v>2030027.03189648</v>
      </c>
      <c r="AB38" s="44" t="n">
        <f aca="false">AB36+AB37</f>
        <v>2019876.896737</v>
      </c>
      <c r="AC38" s="44" t="n">
        <f aca="false">AC36+AC37</f>
        <v>2009777.51225331</v>
      </c>
      <c r="AD38" s="44" t="n">
        <f aca="false">AD36+AD37</f>
        <v>1999728.62469205</v>
      </c>
      <c r="AE38" s="44" t="n">
        <f aca="false">AE36+AE37</f>
        <v>1989729.98156859</v>
      </c>
      <c r="AF38" s="44" t="n">
        <f aca="false">AF36+AF37</f>
        <v>1979781.33166074</v>
      </c>
      <c r="AG38" s="44" t="n">
        <f aca="false">AG36+AG37</f>
        <v>1969882.42500244</v>
      </c>
      <c r="AH38" s="44" t="n">
        <f aca="false">AH36+AH37</f>
        <v>1960033.01287743</v>
      </c>
      <c r="AI38" s="44" t="n">
        <f aca="false">AI36+AI37</f>
        <v>1950232.84781304</v>
      </c>
      <c r="AJ38" s="44" t="n">
        <f aca="false">AJ36+AJ37</f>
        <v>1940481.68357398</v>
      </c>
      <c r="AK38" s="44" t="n">
        <f aca="false">AK36+AK37</f>
        <v>1930779.27515611</v>
      </c>
      <c r="AL38" s="44" t="n">
        <f aca="false">AL36+AL37</f>
        <v>1921125.37878033</v>
      </c>
      <c r="AM38" s="44" t="n">
        <f aca="false">AM36+AM37</f>
        <v>1911519.75188642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5" topLeftCell="E6" activePane="bottomRight" state="frozen"/>
      <selection pane="topLeft" activeCell="A1" activeCellId="0" sqref="A1"/>
      <selection pane="topRight" activeCell="E1" activeCellId="0" sqref="E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42"/>
    <col collapsed="false" customWidth="true" hidden="false" outlineLevel="0" max="2" min="2" style="1" width="14"/>
    <col collapsed="false" customWidth="true" hidden="false" outlineLevel="0" max="3" min="3" style="1" width="12"/>
    <col collapsed="false" customWidth="true" hidden="false" outlineLevel="0" max="4" min="4" style="1" width="14"/>
    <col collapsed="false" customWidth="true" hidden="false" outlineLevel="0" max="39" min="5" style="1" width="12"/>
  </cols>
  <sheetData>
    <row r="1" customFormat="false" ht="15" hidden="false" customHeight="true" outlineLevel="0" collapsed="false">
      <c r="A1" s="52" t="s">
        <v>347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customFormat="false" ht="15" hidden="false" customHeight="true" outlineLevel="0" collapsed="false">
      <c r="A2" s="4" t="s">
        <v>205</v>
      </c>
      <c r="C2" s="8" t="s">
        <v>206</v>
      </c>
      <c r="E2" s="53" t="n">
        <v>46023</v>
      </c>
      <c r="F2" s="53" t="n">
        <v>46388</v>
      </c>
      <c r="G2" s="53" t="n">
        <v>46753</v>
      </c>
      <c r="H2" s="53" t="n">
        <v>47119</v>
      </c>
      <c r="I2" s="53" t="n">
        <v>47484</v>
      </c>
      <c r="J2" s="53" t="n">
        <v>47849</v>
      </c>
      <c r="K2" s="53" t="n">
        <v>48214</v>
      </c>
      <c r="L2" s="53" t="n">
        <v>48580</v>
      </c>
      <c r="M2" s="53" t="n">
        <v>48945</v>
      </c>
      <c r="N2" s="53" t="n">
        <v>49310</v>
      </c>
      <c r="O2" s="53" t="n">
        <v>49675</v>
      </c>
      <c r="P2" s="53" t="n">
        <v>50041</v>
      </c>
      <c r="Q2" s="53" t="n">
        <v>50406</v>
      </c>
      <c r="R2" s="53" t="n">
        <v>50771</v>
      </c>
      <c r="S2" s="53" t="n">
        <v>51136</v>
      </c>
      <c r="T2" s="53" t="n">
        <v>51502</v>
      </c>
      <c r="U2" s="53" t="n">
        <v>51867</v>
      </c>
      <c r="V2" s="53" t="n">
        <v>52232</v>
      </c>
      <c r="W2" s="53" t="n">
        <v>52597</v>
      </c>
      <c r="X2" s="53" t="n">
        <v>52963</v>
      </c>
      <c r="Y2" s="53" t="n">
        <v>53328</v>
      </c>
      <c r="Z2" s="53" t="n">
        <v>53693</v>
      </c>
      <c r="AA2" s="53" t="n">
        <v>54058</v>
      </c>
      <c r="AB2" s="53" t="n">
        <v>54424</v>
      </c>
      <c r="AC2" s="53" t="n">
        <v>54789</v>
      </c>
      <c r="AD2" s="53" t="n">
        <v>55154</v>
      </c>
      <c r="AE2" s="53" t="n">
        <v>55519</v>
      </c>
      <c r="AF2" s="53" t="n">
        <v>55885</v>
      </c>
      <c r="AG2" s="53" t="n">
        <v>56250</v>
      </c>
      <c r="AH2" s="53" t="n">
        <v>56615</v>
      </c>
      <c r="AI2" s="53" t="n">
        <v>56980</v>
      </c>
      <c r="AJ2" s="53" t="n">
        <v>57346</v>
      </c>
      <c r="AK2" s="53" t="n">
        <v>57711</v>
      </c>
      <c r="AL2" s="53" t="n">
        <v>58076</v>
      </c>
      <c r="AM2" s="53" t="n">
        <v>58441</v>
      </c>
    </row>
    <row r="3" customFormat="false" ht="15" hidden="false" customHeight="true" outlineLevel="0" collapsed="false">
      <c r="A3" s="4" t="s">
        <v>207</v>
      </c>
      <c r="C3" s="8" t="s">
        <v>206</v>
      </c>
      <c r="E3" s="53" t="n">
        <v>46387</v>
      </c>
      <c r="F3" s="53" t="n">
        <v>46752</v>
      </c>
      <c r="G3" s="53" t="n">
        <v>47118</v>
      </c>
      <c r="H3" s="53" t="n">
        <v>47483</v>
      </c>
      <c r="I3" s="53" t="n">
        <v>47848</v>
      </c>
      <c r="J3" s="53" t="n">
        <v>48213</v>
      </c>
      <c r="K3" s="53" t="n">
        <v>48579</v>
      </c>
      <c r="L3" s="53" t="n">
        <v>48944</v>
      </c>
      <c r="M3" s="53" t="n">
        <v>49309</v>
      </c>
      <c r="N3" s="53" t="n">
        <v>49674</v>
      </c>
      <c r="O3" s="53" t="n">
        <v>50040</v>
      </c>
      <c r="P3" s="53" t="n">
        <v>50405</v>
      </c>
      <c r="Q3" s="53" t="n">
        <v>50770</v>
      </c>
      <c r="R3" s="53" t="n">
        <v>51135</v>
      </c>
      <c r="S3" s="53" t="n">
        <v>51501</v>
      </c>
      <c r="T3" s="53" t="n">
        <v>51866</v>
      </c>
      <c r="U3" s="53" t="n">
        <v>52231</v>
      </c>
      <c r="V3" s="53" t="n">
        <v>52596</v>
      </c>
      <c r="W3" s="53" t="n">
        <v>52962</v>
      </c>
      <c r="X3" s="53" t="n">
        <v>53327</v>
      </c>
      <c r="Y3" s="53" t="n">
        <v>53692</v>
      </c>
      <c r="Z3" s="53" t="n">
        <v>54057</v>
      </c>
      <c r="AA3" s="53" t="n">
        <v>54423</v>
      </c>
      <c r="AB3" s="53" t="n">
        <v>54788</v>
      </c>
      <c r="AC3" s="53" t="n">
        <v>55153</v>
      </c>
      <c r="AD3" s="53" t="n">
        <v>55518</v>
      </c>
      <c r="AE3" s="53" t="n">
        <v>55884</v>
      </c>
      <c r="AF3" s="53" t="n">
        <v>56249</v>
      </c>
      <c r="AG3" s="53" t="n">
        <v>56614</v>
      </c>
      <c r="AH3" s="53" t="n">
        <v>56979</v>
      </c>
      <c r="AI3" s="53" t="n">
        <v>57345</v>
      </c>
      <c r="AJ3" s="53" t="n">
        <v>57710</v>
      </c>
      <c r="AK3" s="53" t="n">
        <v>58075</v>
      </c>
      <c r="AL3" s="53" t="n">
        <v>58440</v>
      </c>
      <c r="AM3" s="53" t="n">
        <v>58806</v>
      </c>
    </row>
    <row r="4" customFormat="false" ht="15" hidden="false" customHeight="true" outlineLevel="0" collapsed="false">
      <c r="A4" s="4" t="s">
        <v>208</v>
      </c>
      <c r="C4" s="8" t="s">
        <v>209</v>
      </c>
      <c r="E4" s="54" t="n">
        <v>1</v>
      </c>
      <c r="F4" s="54" t="n">
        <v>2</v>
      </c>
      <c r="G4" s="54" t="n">
        <v>3</v>
      </c>
      <c r="H4" s="54" t="n">
        <v>4</v>
      </c>
      <c r="I4" s="54" t="n">
        <v>5</v>
      </c>
      <c r="J4" s="54" t="n">
        <v>6</v>
      </c>
      <c r="K4" s="54" t="n">
        <v>7</v>
      </c>
      <c r="L4" s="54" t="n">
        <v>8</v>
      </c>
      <c r="M4" s="54" t="n">
        <v>9</v>
      </c>
      <c r="N4" s="54" t="n">
        <v>10</v>
      </c>
      <c r="O4" s="54" t="n">
        <v>11</v>
      </c>
      <c r="P4" s="54" t="n">
        <v>12</v>
      </c>
      <c r="Q4" s="54" t="n">
        <v>13</v>
      </c>
      <c r="R4" s="54" t="n">
        <v>14</v>
      </c>
      <c r="S4" s="54" t="n">
        <v>15</v>
      </c>
      <c r="T4" s="54" t="n">
        <v>16</v>
      </c>
      <c r="U4" s="54" t="n">
        <v>17</v>
      </c>
      <c r="V4" s="54" t="n">
        <v>18</v>
      </c>
      <c r="W4" s="54" t="n">
        <v>19</v>
      </c>
      <c r="X4" s="54" t="n">
        <v>20</v>
      </c>
      <c r="Y4" s="54" t="n">
        <v>21</v>
      </c>
      <c r="Z4" s="54" t="n">
        <v>22</v>
      </c>
      <c r="AA4" s="54" t="n">
        <v>23</v>
      </c>
      <c r="AB4" s="54" t="n">
        <v>24</v>
      </c>
      <c r="AC4" s="54" t="n">
        <v>25</v>
      </c>
      <c r="AD4" s="54" t="n">
        <v>26</v>
      </c>
      <c r="AE4" s="54" t="n">
        <v>27</v>
      </c>
      <c r="AF4" s="54" t="n">
        <v>28</v>
      </c>
      <c r="AG4" s="54" t="n">
        <v>29</v>
      </c>
      <c r="AH4" s="54" t="n">
        <v>30</v>
      </c>
      <c r="AI4" s="54" t="n">
        <v>31</v>
      </c>
      <c r="AJ4" s="54" t="n">
        <v>32</v>
      </c>
      <c r="AK4" s="54" t="n">
        <v>33</v>
      </c>
      <c r="AL4" s="54" t="n">
        <v>34</v>
      </c>
      <c r="AM4" s="54" t="n">
        <v>35</v>
      </c>
    </row>
    <row r="5" customFormat="false" ht="15" hidden="false" customHeight="true" outlineLevel="0" collapsed="false">
      <c r="A5" s="55" t="s">
        <v>210</v>
      </c>
      <c r="B5" s="55" t="s">
        <v>90</v>
      </c>
      <c r="C5" s="55" t="s">
        <v>91</v>
      </c>
      <c r="D5" s="55" t="s">
        <v>211</v>
      </c>
      <c r="E5" s="56" t="n">
        <v>2026</v>
      </c>
      <c r="F5" s="56" t="n">
        <v>2027</v>
      </c>
      <c r="G5" s="56" t="n">
        <v>2028</v>
      </c>
      <c r="H5" s="56" t="n">
        <v>2029</v>
      </c>
      <c r="I5" s="56" t="n">
        <v>2030</v>
      </c>
      <c r="J5" s="56" t="n">
        <v>2031</v>
      </c>
      <c r="K5" s="56" t="n">
        <v>2032</v>
      </c>
      <c r="L5" s="56" t="n">
        <v>2033</v>
      </c>
      <c r="M5" s="56" t="n">
        <v>2034</v>
      </c>
      <c r="N5" s="56" t="n">
        <v>2035</v>
      </c>
      <c r="O5" s="56" t="n">
        <v>2036</v>
      </c>
      <c r="P5" s="56" t="n">
        <v>2037</v>
      </c>
      <c r="Q5" s="56" t="n">
        <v>2038</v>
      </c>
      <c r="R5" s="56" t="n">
        <v>2039</v>
      </c>
      <c r="S5" s="56" t="n">
        <v>2040</v>
      </c>
      <c r="T5" s="56" t="n">
        <v>2041</v>
      </c>
      <c r="U5" s="56" t="n">
        <v>2042</v>
      </c>
      <c r="V5" s="56" t="n">
        <v>2043</v>
      </c>
      <c r="W5" s="56" t="n">
        <v>2044</v>
      </c>
      <c r="X5" s="56" t="n">
        <v>2045</v>
      </c>
      <c r="Y5" s="56" t="n">
        <v>2046</v>
      </c>
      <c r="Z5" s="56" t="n">
        <v>2047</v>
      </c>
      <c r="AA5" s="56" t="n">
        <v>2048</v>
      </c>
      <c r="AB5" s="56" t="n">
        <v>2049</v>
      </c>
      <c r="AC5" s="56" t="n">
        <v>2050</v>
      </c>
      <c r="AD5" s="56" t="n">
        <v>2051</v>
      </c>
      <c r="AE5" s="56" t="n">
        <v>2052</v>
      </c>
      <c r="AF5" s="56" t="n">
        <v>2053</v>
      </c>
      <c r="AG5" s="56" t="n">
        <v>2054</v>
      </c>
      <c r="AH5" s="56" t="n">
        <v>2055</v>
      </c>
      <c r="AI5" s="56" t="n">
        <v>2056</v>
      </c>
      <c r="AJ5" s="56" t="n">
        <v>2057</v>
      </c>
      <c r="AK5" s="56" t="n">
        <v>2058</v>
      </c>
      <c r="AL5" s="56" t="n">
        <v>2059</v>
      </c>
      <c r="AM5" s="56" t="n">
        <v>2060</v>
      </c>
    </row>
    <row r="6" customFormat="false" ht="15" hidden="false" customHeight="true" outlineLevel="0" collapsed="false">
      <c r="A6" s="57" t="s">
        <v>244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</row>
    <row r="7" customFormat="false" ht="15" hidden="false" customHeight="true" outlineLevel="0" collapsed="false">
      <c r="A7" s="8" t="s">
        <v>245</v>
      </c>
      <c r="B7" s="9" t="n">
        <f aca="false">InpC!B6</f>
        <v>20</v>
      </c>
      <c r="C7" s="10" t="s">
        <v>6</v>
      </c>
    </row>
    <row r="8" customFormat="false" ht="15" hidden="false" customHeight="true" outlineLevel="0" collapsed="false">
      <c r="A8" s="8" t="s">
        <v>319</v>
      </c>
      <c r="B8" s="11" t="n">
        <f aca="false">InpC!B7</f>
        <v>1.3</v>
      </c>
      <c r="C8" s="10" t="s">
        <v>9</v>
      </c>
    </row>
    <row r="9" customFormat="false" ht="15" hidden="false" customHeight="true" outlineLevel="0" collapsed="false">
      <c r="A9" s="8" t="s">
        <v>348</v>
      </c>
      <c r="B9" s="13" t="n">
        <f aca="false">InpC!B23</f>
        <v>6.5</v>
      </c>
      <c r="C9" s="10" t="s">
        <v>117</v>
      </c>
    </row>
    <row r="10" customFormat="false" ht="15" hidden="false" customHeight="true" outlineLevel="0" collapsed="false">
      <c r="A10" s="8" t="s">
        <v>349</v>
      </c>
      <c r="B10" s="17" t="n">
        <f aca="false">InpC!B25</f>
        <v>1500</v>
      </c>
      <c r="C10" s="10" t="s">
        <v>121</v>
      </c>
    </row>
    <row r="11" customFormat="false" ht="15" hidden="false" customHeight="true" outlineLevel="0" collapsed="false">
      <c r="A11" s="8" t="s">
        <v>350</v>
      </c>
      <c r="B11" s="11" t="n">
        <f aca="false">InpC!B26</f>
        <v>6</v>
      </c>
      <c r="C11" s="10" t="s">
        <v>124</v>
      </c>
    </row>
    <row r="12" customFormat="false" ht="15" hidden="false" customHeight="true" outlineLevel="0" collapsed="false">
      <c r="A12" s="8" t="s">
        <v>351</v>
      </c>
      <c r="B12" s="17" t="n">
        <f aca="false">InpC!B28</f>
        <v>375000</v>
      </c>
      <c r="C12" s="10" t="s">
        <v>128</v>
      </c>
    </row>
    <row r="13" customFormat="false" ht="15" hidden="false" customHeight="true" outlineLevel="0" collapsed="false">
      <c r="A13" s="8" t="s">
        <v>352</v>
      </c>
      <c r="B13" s="17" t="n">
        <f aca="false">InpC!B30</f>
        <v>4000000</v>
      </c>
      <c r="C13" s="10" t="s">
        <v>29</v>
      </c>
    </row>
    <row r="14" customFormat="false" ht="15" hidden="false" customHeight="true" outlineLevel="0" collapsed="false">
      <c r="A14" s="8" t="s">
        <v>353</v>
      </c>
      <c r="B14" s="12" t="n">
        <f aca="false">InpC!B31</f>
        <v>0.02</v>
      </c>
      <c r="C14" s="10" t="s">
        <v>15</v>
      </c>
    </row>
    <row r="15" customFormat="false" ht="15" hidden="false" customHeight="true" outlineLevel="0" collapsed="false">
      <c r="A15" s="8" t="s">
        <v>354</v>
      </c>
      <c r="B15" s="13" t="n">
        <f aca="false">InpC!B32</f>
        <v>0.06</v>
      </c>
      <c r="C15" s="10" t="s">
        <v>135</v>
      </c>
    </row>
    <row r="16" customFormat="false" ht="15" hidden="false" customHeight="true" outlineLevel="0" collapsed="false">
      <c r="A16" s="8" t="s">
        <v>216</v>
      </c>
      <c r="B16" s="9" t="n">
        <f aca="false">InpC!B34</f>
        <v>10</v>
      </c>
      <c r="C16" s="10" t="s">
        <v>104</v>
      </c>
    </row>
    <row r="17" customFormat="false" ht="15" hidden="false" customHeight="true" outlineLevel="0" collapsed="false">
      <c r="A17" s="8" t="s">
        <v>329</v>
      </c>
      <c r="C17" s="10" t="s">
        <v>219</v>
      </c>
      <c r="E17" s="63" t="n">
        <f aca="false">Time!E13</f>
        <v>1</v>
      </c>
      <c r="F17" s="63" t="n">
        <f aca="false">Time!F13</f>
        <v>1</v>
      </c>
      <c r="G17" s="63" t="n">
        <f aca="false">Time!G13</f>
        <v>1</v>
      </c>
      <c r="H17" s="63" t="n">
        <f aca="false">Time!H13</f>
        <v>1</v>
      </c>
      <c r="I17" s="63" t="n">
        <f aca="false">Time!I13</f>
        <v>1</v>
      </c>
      <c r="J17" s="63" t="n">
        <f aca="false">Time!J13</f>
        <v>1</v>
      </c>
      <c r="K17" s="63" t="n">
        <f aca="false">Time!K13</f>
        <v>1</v>
      </c>
      <c r="L17" s="63" t="n">
        <f aca="false">Time!L13</f>
        <v>1</v>
      </c>
      <c r="M17" s="63" t="n">
        <f aca="false">Time!M13</f>
        <v>1</v>
      </c>
      <c r="N17" s="63" t="n">
        <f aca="false">Time!N13</f>
        <v>1</v>
      </c>
      <c r="O17" s="63" t="n">
        <f aca="false">Time!O13</f>
        <v>1</v>
      </c>
      <c r="P17" s="63" t="n">
        <f aca="false">Time!P13</f>
        <v>1</v>
      </c>
      <c r="Q17" s="63" t="n">
        <f aca="false">Time!Q13</f>
        <v>1</v>
      </c>
      <c r="R17" s="63" t="n">
        <f aca="false">Time!R13</f>
        <v>1</v>
      </c>
      <c r="S17" s="63" t="n">
        <f aca="false">Time!S13</f>
        <v>1</v>
      </c>
      <c r="T17" s="63" t="n">
        <f aca="false">Time!T13</f>
        <v>1</v>
      </c>
      <c r="U17" s="63" t="n">
        <f aca="false">Time!U13</f>
        <v>1</v>
      </c>
      <c r="V17" s="63" t="n">
        <f aca="false">Time!V13</f>
        <v>1</v>
      </c>
      <c r="W17" s="63" t="n">
        <f aca="false">Time!W13</f>
        <v>1</v>
      </c>
      <c r="X17" s="63" t="n">
        <f aca="false">Time!X13</f>
        <v>1</v>
      </c>
      <c r="Y17" s="63" t="n">
        <f aca="false">Time!Y13</f>
        <v>1</v>
      </c>
      <c r="Z17" s="63" t="n">
        <f aca="false">Time!Z13</f>
        <v>1</v>
      </c>
      <c r="AA17" s="63" t="n">
        <f aca="false">Time!AA13</f>
        <v>1</v>
      </c>
      <c r="AB17" s="63" t="n">
        <f aca="false">Time!AB13</f>
        <v>1</v>
      </c>
      <c r="AC17" s="63" t="n">
        <f aca="false">Time!AC13</f>
        <v>1</v>
      </c>
      <c r="AD17" s="63" t="n">
        <f aca="false">Time!AD13</f>
        <v>1</v>
      </c>
      <c r="AE17" s="63" t="n">
        <f aca="false">Time!AE13</f>
        <v>1</v>
      </c>
      <c r="AF17" s="63" t="n">
        <f aca="false">Time!AF13</f>
        <v>1</v>
      </c>
      <c r="AG17" s="63" t="n">
        <f aca="false">Time!AG13</f>
        <v>1</v>
      </c>
      <c r="AH17" s="63" t="n">
        <f aca="false">Time!AH13</f>
        <v>1</v>
      </c>
      <c r="AI17" s="63" t="n">
        <f aca="false">Time!AI13</f>
        <v>1</v>
      </c>
      <c r="AJ17" s="63" t="n">
        <f aca="false">Time!AJ13</f>
        <v>1</v>
      </c>
      <c r="AK17" s="63" t="n">
        <f aca="false">Time!AK13</f>
        <v>1</v>
      </c>
      <c r="AL17" s="63" t="n">
        <f aca="false">Time!AL13</f>
        <v>1</v>
      </c>
      <c r="AM17" s="63" t="n">
        <f aca="false">Time!AM13</f>
        <v>1</v>
      </c>
    </row>
    <row r="18" customFormat="false" ht="15" hidden="false" customHeight="true" outlineLevel="0" collapsed="false">
      <c r="A18" s="8" t="s">
        <v>330</v>
      </c>
      <c r="C18" s="10" t="s">
        <v>219</v>
      </c>
      <c r="E18" s="63" t="n">
        <f aca="false">Time!E14</f>
        <v>1</v>
      </c>
      <c r="F18" s="63" t="n">
        <f aca="false">Time!F14</f>
        <v>1</v>
      </c>
      <c r="G18" s="63" t="n">
        <f aca="false">Time!G14</f>
        <v>1</v>
      </c>
      <c r="H18" s="63" t="n">
        <f aca="false">Time!H14</f>
        <v>1</v>
      </c>
      <c r="I18" s="63" t="n">
        <f aca="false">Time!I14</f>
        <v>1</v>
      </c>
      <c r="J18" s="63" t="n">
        <f aca="false">Time!J14</f>
        <v>1</v>
      </c>
      <c r="K18" s="63" t="n">
        <f aca="false">Time!K14</f>
        <v>1</v>
      </c>
      <c r="L18" s="63" t="n">
        <f aca="false">Time!L14</f>
        <v>1</v>
      </c>
      <c r="M18" s="63" t="n">
        <f aca="false">Time!M14</f>
        <v>1</v>
      </c>
      <c r="N18" s="63" t="n">
        <f aca="false">Time!N14</f>
        <v>1</v>
      </c>
      <c r="O18" s="63" t="n">
        <f aca="false">Time!O14</f>
        <v>1</v>
      </c>
      <c r="P18" s="63" t="n">
        <f aca="false">Time!P14</f>
        <v>1</v>
      </c>
      <c r="Q18" s="63" t="n">
        <f aca="false">Time!Q14</f>
        <v>1</v>
      </c>
      <c r="R18" s="63" t="n">
        <f aca="false">Time!R14</f>
        <v>1</v>
      </c>
      <c r="S18" s="63" t="n">
        <f aca="false">Time!S14</f>
        <v>1</v>
      </c>
      <c r="T18" s="63" t="n">
        <f aca="false">Time!T14</f>
        <v>1</v>
      </c>
      <c r="U18" s="63" t="n">
        <f aca="false">Time!U14</f>
        <v>1</v>
      </c>
      <c r="V18" s="63" t="n">
        <f aca="false">Time!V14</f>
        <v>1</v>
      </c>
      <c r="W18" s="63" t="n">
        <f aca="false">Time!W14</f>
        <v>1</v>
      </c>
      <c r="X18" s="63" t="n">
        <f aca="false">Time!X14</f>
        <v>1</v>
      </c>
      <c r="Y18" s="63" t="n">
        <f aca="false">Time!Y14</f>
        <v>0</v>
      </c>
      <c r="Z18" s="63" t="n">
        <f aca="false">Time!Z14</f>
        <v>0</v>
      </c>
      <c r="AA18" s="63" t="n">
        <f aca="false">Time!AA14</f>
        <v>0</v>
      </c>
      <c r="AB18" s="63" t="n">
        <f aca="false">Time!AB14</f>
        <v>0</v>
      </c>
      <c r="AC18" s="63" t="n">
        <f aca="false">Time!AC14</f>
        <v>0</v>
      </c>
      <c r="AD18" s="63" t="n">
        <f aca="false">Time!AD14</f>
        <v>0</v>
      </c>
      <c r="AE18" s="63" t="n">
        <f aca="false">Time!AE14</f>
        <v>0</v>
      </c>
      <c r="AF18" s="63" t="n">
        <f aca="false">Time!AF14</f>
        <v>0</v>
      </c>
      <c r="AG18" s="63" t="n">
        <f aca="false">Time!AG14</f>
        <v>0</v>
      </c>
      <c r="AH18" s="63" t="n">
        <f aca="false">Time!AH14</f>
        <v>0</v>
      </c>
      <c r="AI18" s="63" t="n">
        <f aca="false">Time!AI14</f>
        <v>0</v>
      </c>
      <c r="AJ18" s="63" t="n">
        <f aca="false">Time!AJ14</f>
        <v>0</v>
      </c>
      <c r="AK18" s="63" t="n">
        <f aca="false">Time!AK14</f>
        <v>0</v>
      </c>
      <c r="AL18" s="63" t="n">
        <f aca="false">Time!AL14</f>
        <v>0</v>
      </c>
      <c r="AM18" s="63" t="n">
        <f aca="false">Time!AM14</f>
        <v>0</v>
      </c>
    </row>
    <row r="19" customFormat="false" ht="15" hidden="false" customHeight="true" outlineLevel="0" collapsed="false">
      <c r="A19" s="8" t="s">
        <v>355</v>
      </c>
      <c r="C19" s="10" t="s">
        <v>219</v>
      </c>
      <c r="E19" s="63" t="n">
        <f aca="false">Time!E16</f>
        <v>0</v>
      </c>
      <c r="F19" s="63" t="n">
        <f aca="false">Time!F16</f>
        <v>0</v>
      </c>
      <c r="G19" s="63" t="n">
        <f aca="false">Time!G16</f>
        <v>0</v>
      </c>
      <c r="H19" s="63" t="n">
        <f aca="false">Time!H16</f>
        <v>0</v>
      </c>
      <c r="I19" s="63" t="n">
        <f aca="false">Time!I16</f>
        <v>0</v>
      </c>
      <c r="J19" s="63" t="n">
        <f aca="false">Time!J16</f>
        <v>0</v>
      </c>
      <c r="K19" s="63" t="n">
        <f aca="false">Time!K16</f>
        <v>0</v>
      </c>
      <c r="L19" s="63" t="n">
        <f aca="false">Time!L16</f>
        <v>0</v>
      </c>
      <c r="M19" s="63" t="n">
        <f aca="false">Time!M16</f>
        <v>0</v>
      </c>
      <c r="N19" s="63" t="n">
        <f aca="false">Time!N16</f>
        <v>1</v>
      </c>
      <c r="O19" s="63" t="n">
        <f aca="false">Time!O16</f>
        <v>1</v>
      </c>
      <c r="P19" s="63" t="n">
        <f aca="false">Time!P16</f>
        <v>1</v>
      </c>
      <c r="Q19" s="63" t="n">
        <f aca="false">Time!Q16</f>
        <v>1</v>
      </c>
      <c r="R19" s="63" t="n">
        <f aca="false">Time!R16</f>
        <v>1</v>
      </c>
      <c r="S19" s="63" t="n">
        <f aca="false">Time!S16</f>
        <v>1</v>
      </c>
      <c r="T19" s="63" t="n">
        <f aca="false">Time!T16</f>
        <v>1</v>
      </c>
      <c r="U19" s="63" t="n">
        <f aca="false">Time!U16</f>
        <v>1</v>
      </c>
      <c r="V19" s="63" t="n">
        <f aca="false">Time!V16</f>
        <v>1</v>
      </c>
      <c r="W19" s="63" t="n">
        <f aca="false">Time!W16</f>
        <v>1</v>
      </c>
      <c r="X19" s="63" t="n">
        <f aca="false">Time!X16</f>
        <v>0</v>
      </c>
      <c r="Y19" s="63" t="n">
        <f aca="false">Time!Y16</f>
        <v>0</v>
      </c>
      <c r="Z19" s="63" t="n">
        <f aca="false">Time!Z16</f>
        <v>0</v>
      </c>
      <c r="AA19" s="63" t="n">
        <f aca="false">Time!AA16</f>
        <v>0</v>
      </c>
      <c r="AB19" s="63" t="n">
        <f aca="false">Time!AB16</f>
        <v>0</v>
      </c>
      <c r="AC19" s="63" t="n">
        <f aca="false">Time!AC16</f>
        <v>0</v>
      </c>
      <c r="AD19" s="63" t="n">
        <f aca="false">Time!AD16</f>
        <v>0</v>
      </c>
      <c r="AE19" s="63" t="n">
        <f aca="false">Time!AE16</f>
        <v>0</v>
      </c>
      <c r="AF19" s="63" t="n">
        <f aca="false">Time!AF16</f>
        <v>0</v>
      </c>
      <c r="AG19" s="63" t="n">
        <f aca="false">Time!AG16</f>
        <v>0</v>
      </c>
      <c r="AH19" s="63" t="n">
        <f aca="false">Time!AH16</f>
        <v>0</v>
      </c>
      <c r="AI19" s="63" t="n">
        <f aca="false">Time!AI16</f>
        <v>0</v>
      </c>
      <c r="AJ19" s="63" t="n">
        <f aca="false">Time!AJ16</f>
        <v>0</v>
      </c>
      <c r="AK19" s="63" t="n">
        <f aca="false">Time!AK16</f>
        <v>0</v>
      </c>
      <c r="AL19" s="63" t="n">
        <f aca="false">Time!AL16</f>
        <v>0</v>
      </c>
      <c r="AM19" s="63" t="n">
        <f aca="false">Time!AM16</f>
        <v>0</v>
      </c>
    </row>
    <row r="20" customFormat="false" ht="15" hidden="false" customHeight="true" outlineLevel="0" collapsed="false">
      <c r="A20" s="8" t="s">
        <v>356</v>
      </c>
      <c r="C20" s="10" t="s">
        <v>9</v>
      </c>
      <c r="E20" s="11" t="n">
        <f aca="false">Esc!E15</f>
        <v>1</v>
      </c>
      <c r="F20" s="11" t="n">
        <f aca="false">Esc!F15</f>
        <v>1.02</v>
      </c>
      <c r="G20" s="11" t="n">
        <f aca="false">Esc!G15</f>
        <v>1.0404</v>
      </c>
      <c r="H20" s="11" t="n">
        <f aca="false">Esc!H15</f>
        <v>1.061208</v>
      </c>
      <c r="I20" s="11" t="n">
        <f aca="false">Esc!I15</f>
        <v>1.08243216</v>
      </c>
      <c r="J20" s="11" t="n">
        <f aca="false">Esc!J15</f>
        <v>1.1040808032</v>
      </c>
      <c r="K20" s="11" t="n">
        <f aca="false">Esc!K15</f>
        <v>1.126162419264</v>
      </c>
      <c r="L20" s="11" t="n">
        <f aca="false">Esc!L15</f>
        <v>1.14868566764928</v>
      </c>
      <c r="M20" s="11" t="n">
        <f aca="false">Esc!M15</f>
        <v>1.17165938100227</v>
      </c>
      <c r="N20" s="11" t="n">
        <f aca="false">Esc!N15</f>
        <v>1.19509256862231</v>
      </c>
      <c r="O20" s="11" t="n">
        <f aca="false">Esc!O15</f>
        <v>1.21899441999476</v>
      </c>
      <c r="P20" s="11" t="n">
        <f aca="false">Esc!P15</f>
        <v>1.24337430839465</v>
      </c>
      <c r="Q20" s="11" t="n">
        <f aca="false">Esc!Q15</f>
        <v>1.26824179456255</v>
      </c>
      <c r="R20" s="11" t="n">
        <f aca="false">Esc!R15</f>
        <v>1.2936066304538</v>
      </c>
      <c r="S20" s="11" t="n">
        <f aca="false">Esc!S15</f>
        <v>1.31947876306287</v>
      </c>
      <c r="T20" s="11" t="n">
        <f aca="false">Esc!T15</f>
        <v>1.34586833832413</v>
      </c>
      <c r="U20" s="11" t="n">
        <f aca="false">Esc!U15</f>
        <v>1.37278570509061</v>
      </c>
      <c r="V20" s="11" t="n">
        <f aca="false">Esc!V15</f>
        <v>1.40024141919242</v>
      </c>
      <c r="W20" s="11" t="n">
        <f aca="false">Esc!W15</f>
        <v>1.42824624757627</v>
      </c>
      <c r="X20" s="11" t="n">
        <f aca="false">Esc!X15</f>
        <v>1.4568111725278</v>
      </c>
      <c r="Y20" s="11" t="n">
        <f aca="false">Esc!Y15</f>
        <v>1.48594739597836</v>
      </c>
      <c r="Z20" s="11" t="n">
        <f aca="false">Esc!Z15</f>
        <v>1.51566634389792</v>
      </c>
      <c r="AA20" s="11" t="n">
        <f aca="false">Esc!AA15</f>
        <v>1.54597967077588</v>
      </c>
      <c r="AB20" s="11" t="n">
        <f aca="false">Esc!AB15</f>
        <v>1.5768992641914</v>
      </c>
      <c r="AC20" s="11" t="n">
        <f aca="false">Esc!AC15</f>
        <v>1.60843724947523</v>
      </c>
      <c r="AD20" s="11" t="n">
        <f aca="false">Esc!AD15</f>
        <v>1.64060599446473</v>
      </c>
      <c r="AE20" s="11" t="n">
        <f aca="false">Esc!AE15</f>
        <v>1.67341811435403</v>
      </c>
      <c r="AF20" s="11" t="n">
        <f aca="false">Esc!AF15</f>
        <v>1.70688647664111</v>
      </c>
      <c r="AG20" s="11" t="n">
        <f aca="false">Esc!AG15</f>
        <v>1.74102420617393</v>
      </c>
      <c r="AH20" s="11" t="n">
        <f aca="false">Esc!AH15</f>
        <v>1.77584469029741</v>
      </c>
      <c r="AI20" s="11" t="n">
        <f aca="false">Esc!AI15</f>
        <v>1.81136158410335</v>
      </c>
      <c r="AJ20" s="11" t="n">
        <f aca="false">Esc!AJ15</f>
        <v>1.84758881578542</v>
      </c>
      <c r="AK20" s="11" t="n">
        <f aca="false">Esc!AK15</f>
        <v>1.88454059210113</v>
      </c>
      <c r="AL20" s="11" t="n">
        <f aca="false">Esc!AL15</f>
        <v>1.92223140394315</v>
      </c>
      <c r="AM20" s="11" t="n">
        <f aca="false">Esc!AM15</f>
        <v>1.96067603202202</v>
      </c>
    </row>
    <row r="21" customFormat="false" ht="15" hidden="false" customHeight="true" outlineLevel="0" collapsed="false">
      <c r="A21" s="8" t="s">
        <v>357</v>
      </c>
      <c r="C21" s="10" t="s">
        <v>9</v>
      </c>
      <c r="E21" s="11" t="n">
        <f aca="false">Esc!E16</f>
        <v>1</v>
      </c>
      <c r="F21" s="11" t="n">
        <f aca="false">Esc!F16</f>
        <v>1.02</v>
      </c>
      <c r="G21" s="11" t="n">
        <f aca="false">Esc!G16</f>
        <v>1.0404</v>
      </c>
      <c r="H21" s="11" t="n">
        <f aca="false">Esc!H16</f>
        <v>1.061208</v>
      </c>
      <c r="I21" s="11" t="n">
        <f aca="false">Esc!I16</f>
        <v>1.08243216</v>
      </c>
      <c r="J21" s="11" t="n">
        <f aca="false">Esc!J16</f>
        <v>1.1040808032</v>
      </c>
      <c r="K21" s="11" t="n">
        <f aca="false">Esc!K16</f>
        <v>1.126162419264</v>
      </c>
      <c r="L21" s="11" t="n">
        <f aca="false">Esc!L16</f>
        <v>1.14868566764928</v>
      </c>
      <c r="M21" s="11" t="n">
        <f aca="false">Esc!M16</f>
        <v>1.17165938100227</v>
      </c>
      <c r="N21" s="11" t="n">
        <f aca="false">Esc!N16</f>
        <v>1.19509256862231</v>
      </c>
      <c r="O21" s="11" t="n">
        <f aca="false">Esc!O16</f>
        <v>1.21899441999476</v>
      </c>
      <c r="P21" s="11" t="n">
        <f aca="false">Esc!P16</f>
        <v>1.24337430839465</v>
      </c>
      <c r="Q21" s="11" t="n">
        <f aca="false">Esc!Q16</f>
        <v>1.26824179456255</v>
      </c>
      <c r="R21" s="11" t="n">
        <f aca="false">Esc!R16</f>
        <v>1.2936066304538</v>
      </c>
      <c r="S21" s="11" t="n">
        <f aca="false">Esc!S16</f>
        <v>1.31947876306287</v>
      </c>
      <c r="T21" s="11" t="n">
        <f aca="false">Esc!T16</f>
        <v>1.34586833832413</v>
      </c>
      <c r="U21" s="11" t="n">
        <f aca="false">Esc!U16</f>
        <v>1.37278570509061</v>
      </c>
      <c r="V21" s="11" t="n">
        <f aca="false">Esc!V16</f>
        <v>1.40024141919242</v>
      </c>
      <c r="W21" s="11" t="n">
        <f aca="false">Esc!W16</f>
        <v>1.42824624757627</v>
      </c>
      <c r="X21" s="11" t="n">
        <f aca="false">Esc!X16</f>
        <v>1.4568111725278</v>
      </c>
      <c r="Y21" s="11" t="n">
        <f aca="false">Esc!Y16</f>
        <v>1.48594739597836</v>
      </c>
      <c r="Z21" s="11" t="n">
        <f aca="false">Esc!Z16</f>
        <v>1.51566634389792</v>
      </c>
      <c r="AA21" s="11" t="n">
        <f aca="false">Esc!AA16</f>
        <v>1.54597967077588</v>
      </c>
      <c r="AB21" s="11" t="n">
        <f aca="false">Esc!AB16</f>
        <v>1.5768992641914</v>
      </c>
      <c r="AC21" s="11" t="n">
        <f aca="false">Esc!AC16</f>
        <v>1.60843724947523</v>
      </c>
      <c r="AD21" s="11" t="n">
        <f aca="false">Esc!AD16</f>
        <v>1.64060599446473</v>
      </c>
      <c r="AE21" s="11" t="n">
        <f aca="false">Esc!AE16</f>
        <v>1.67341811435403</v>
      </c>
      <c r="AF21" s="11" t="n">
        <f aca="false">Esc!AF16</f>
        <v>1.70688647664111</v>
      </c>
      <c r="AG21" s="11" t="n">
        <f aca="false">Esc!AG16</f>
        <v>1.74102420617393</v>
      </c>
      <c r="AH21" s="11" t="n">
        <f aca="false">Esc!AH16</f>
        <v>1.77584469029741</v>
      </c>
      <c r="AI21" s="11" t="n">
        <f aca="false">Esc!AI16</f>
        <v>1.81136158410335</v>
      </c>
      <c r="AJ21" s="11" t="n">
        <f aca="false">Esc!AJ16</f>
        <v>1.84758881578542</v>
      </c>
      <c r="AK21" s="11" t="n">
        <f aca="false">Esc!AK16</f>
        <v>1.88454059210113</v>
      </c>
      <c r="AL21" s="11" t="n">
        <f aca="false">Esc!AL16</f>
        <v>1.92223140394315</v>
      </c>
      <c r="AM21" s="11" t="n">
        <f aca="false">Esc!AM16</f>
        <v>1.96067603202202</v>
      </c>
    </row>
    <row r="22" customFormat="false" ht="15" hidden="false" customHeight="true" outlineLevel="0" collapsed="false">
      <c r="A22" s="8" t="s">
        <v>358</v>
      </c>
      <c r="C22" s="10" t="s">
        <v>9</v>
      </c>
      <c r="E22" s="11" t="n">
        <f aca="false">Esc!E17</f>
        <v>1</v>
      </c>
      <c r="F22" s="11" t="n">
        <f aca="false">Esc!F17</f>
        <v>1.02</v>
      </c>
      <c r="G22" s="11" t="n">
        <f aca="false">Esc!G17</f>
        <v>1.0404</v>
      </c>
      <c r="H22" s="11" t="n">
        <f aca="false">Esc!H17</f>
        <v>1.061208</v>
      </c>
      <c r="I22" s="11" t="n">
        <f aca="false">Esc!I17</f>
        <v>1.08243216</v>
      </c>
      <c r="J22" s="11" t="n">
        <f aca="false">Esc!J17</f>
        <v>1.1040808032</v>
      </c>
      <c r="K22" s="11" t="n">
        <f aca="false">Esc!K17</f>
        <v>1.126162419264</v>
      </c>
      <c r="L22" s="11" t="n">
        <f aca="false">Esc!L17</f>
        <v>1.14868566764928</v>
      </c>
      <c r="M22" s="11" t="n">
        <f aca="false">Esc!M17</f>
        <v>1.17165938100227</v>
      </c>
      <c r="N22" s="11" t="n">
        <f aca="false">Esc!N17</f>
        <v>1.19509256862231</v>
      </c>
      <c r="O22" s="11" t="n">
        <f aca="false">Esc!O17</f>
        <v>1.21899441999476</v>
      </c>
      <c r="P22" s="11" t="n">
        <f aca="false">Esc!P17</f>
        <v>1.24337430839465</v>
      </c>
      <c r="Q22" s="11" t="n">
        <f aca="false">Esc!Q17</f>
        <v>1.26824179456255</v>
      </c>
      <c r="R22" s="11" t="n">
        <f aca="false">Esc!R17</f>
        <v>1.2936066304538</v>
      </c>
      <c r="S22" s="11" t="n">
        <f aca="false">Esc!S17</f>
        <v>1.31947876306287</v>
      </c>
      <c r="T22" s="11" t="n">
        <f aca="false">Esc!T17</f>
        <v>1.34586833832413</v>
      </c>
      <c r="U22" s="11" t="n">
        <f aca="false">Esc!U17</f>
        <v>1.37278570509061</v>
      </c>
      <c r="V22" s="11" t="n">
        <f aca="false">Esc!V17</f>
        <v>1.40024141919242</v>
      </c>
      <c r="W22" s="11" t="n">
        <f aca="false">Esc!W17</f>
        <v>1.42824624757627</v>
      </c>
      <c r="X22" s="11" t="n">
        <f aca="false">Esc!X17</f>
        <v>1.4568111725278</v>
      </c>
      <c r="Y22" s="11" t="n">
        <f aca="false">Esc!Y17</f>
        <v>1.48594739597836</v>
      </c>
      <c r="Z22" s="11" t="n">
        <f aca="false">Esc!Z17</f>
        <v>1.51566634389792</v>
      </c>
      <c r="AA22" s="11" t="n">
        <f aca="false">Esc!AA17</f>
        <v>1.54597967077588</v>
      </c>
      <c r="AB22" s="11" t="n">
        <f aca="false">Esc!AB17</f>
        <v>1.5768992641914</v>
      </c>
      <c r="AC22" s="11" t="n">
        <f aca="false">Esc!AC17</f>
        <v>1.60843724947523</v>
      </c>
      <c r="AD22" s="11" t="n">
        <f aca="false">Esc!AD17</f>
        <v>1.64060599446473</v>
      </c>
      <c r="AE22" s="11" t="n">
        <f aca="false">Esc!AE17</f>
        <v>1.67341811435403</v>
      </c>
      <c r="AF22" s="11" t="n">
        <f aca="false">Esc!AF17</f>
        <v>1.70688647664111</v>
      </c>
      <c r="AG22" s="11" t="n">
        <f aca="false">Esc!AG17</f>
        <v>1.74102420617393</v>
      </c>
      <c r="AH22" s="11" t="n">
        <f aca="false">Esc!AH17</f>
        <v>1.77584469029741</v>
      </c>
      <c r="AI22" s="11" t="n">
        <f aca="false">Esc!AI17</f>
        <v>1.81136158410335</v>
      </c>
      <c r="AJ22" s="11" t="n">
        <f aca="false">Esc!AJ17</f>
        <v>1.84758881578542</v>
      </c>
      <c r="AK22" s="11" t="n">
        <f aca="false">Esc!AK17</f>
        <v>1.88454059210113</v>
      </c>
      <c r="AL22" s="11" t="n">
        <f aca="false">Esc!AL17</f>
        <v>1.92223140394315</v>
      </c>
      <c r="AM22" s="11" t="n">
        <f aca="false">Esc!AM17</f>
        <v>1.96067603202202</v>
      </c>
    </row>
    <row r="24" customFormat="false" ht="15" hidden="false" customHeight="true" outlineLevel="0" collapsed="false">
      <c r="A24" s="57" t="s">
        <v>359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</row>
    <row r="25" customFormat="false" ht="15" hidden="false" customHeight="true" outlineLevel="0" collapsed="false">
      <c r="A25" s="8" t="s">
        <v>255</v>
      </c>
      <c r="B25" s="62" t="n">
        <f aca="false">B7*B8</f>
        <v>26</v>
      </c>
      <c r="C25" s="10" t="s">
        <v>256</v>
      </c>
    </row>
    <row r="26" customFormat="false" ht="15" hidden="false" customHeight="true" outlineLevel="0" collapsed="false">
      <c r="A26" s="8" t="s">
        <v>255</v>
      </c>
      <c r="B26" s="59" t="n">
        <f aca="false">B25*1000</f>
        <v>26000</v>
      </c>
      <c r="C26" s="10" t="s">
        <v>360</v>
      </c>
    </row>
    <row r="27" customFormat="false" ht="15" hidden="false" customHeight="true" outlineLevel="0" collapsed="false">
      <c r="A27" s="8" t="s">
        <v>255</v>
      </c>
      <c r="B27" s="59" t="n">
        <f aca="false">B25*1000000</f>
        <v>26000000</v>
      </c>
      <c r="C27" s="10" t="s">
        <v>257</v>
      </c>
    </row>
    <row r="28" customFormat="false" ht="15" hidden="false" customHeight="true" outlineLevel="0" collapsed="false">
      <c r="A28" s="8" t="s">
        <v>361</v>
      </c>
      <c r="B28" s="59" t="n">
        <f aca="false">B25*B11</f>
        <v>156</v>
      </c>
      <c r="C28" s="10" t="s">
        <v>362</v>
      </c>
    </row>
    <row r="29" customFormat="false" ht="15" hidden="false" customHeight="true" outlineLevel="0" collapsed="false">
      <c r="A29" s="8" t="s">
        <v>134</v>
      </c>
      <c r="B29" s="64" t="n">
        <f aca="false">B27*B15</f>
        <v>1560000</v>
      </c>
      <c r="C29" s="10" t="s">
        <v>29</v>
      </c>
    </row>
    <row r="30" customFormat="false" ht="15" hidden="false" customHeight="true" outlineLevel="0" collapsed="false">
      <c r="A30" s="8" t="s">
        <v>363</v>
      </c>
      <c r="B30" s="64" t="n">
        <f aca="false">B29/B16</f>
        <v>156000</v>
      </c>
      <c r="C30" s="10" t="s">
        <v>128</v>
      </c>
    </row>
    <row r="31" customFormat="false" ht="15" hidden="false" customHeight="true" outlineLevel="0" collapsed="false">
      <c r="A31" s="8" t="s">
        <v>364</v>
      </c>
      <c r="B31" s="64" t="n">
        <f aca="false">B9*B26</f>
        <v>169000</v>
      </c>
      <c r="C31" s="10" t="s">
        <v>128</v>
      </c>
    </row>
    <row r="32" customFormat="false" ht="15" hidden="false" customHeight="true" outlineLevel="0" collapsed="false">
      <c r="A32" s="8" t="s">
        <v>365</v>
      </c>
      <c r="B32" s="64" t="n">
        <f aca="false">B10*B28</f>
        <v>234000</v>
      </c>
      <c r="C32" s="10" t="s">
        <v>128</v>
      </c>
    </row>
    <row r="33" customFormat="false" ht="15" hidden="false" customHeight="true" outlineLevel="0" collapsed="false">
      <c r="A33" s="8" t="s">
        <v>366</v>
      </c>
      <c r="B33" s="64" t="n">
        <f aca="false">B13*B14</f>
        <v>80000</v>
      </c>
      <c r="C33" s="10" t="s">
        <v>128</v>
      </c>
    </row>
    <row r="35" customFormat="false" ht="15" hidden="false" customHeight="true" outlineLevel="0" collapsed="false">
      <c r="A35" s="57" t="s">
        <v>367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</row>
    <row r="36" customFormat="false" ht="15" hidden="false" customHeight="true" outlineLevel="0" collapsed="false">
      <c r="A36" s="8" t="s">
        <v>368</v>
      </c>
      <c r="C36" s="10" t="s">
        <v>29</v>
      </c>
      <c r="D36" s="59" t="n">
        <f aca="false">SUM(E36:AM36)</f>
        <v>8449066.71999775</v>
      </c>
      <c r="E36" s="64" t="n">
        <f aca="false">$B$31*E20*E17</f>
        <v>169000</v>
      </c>
      <c r="F36" s="64" t="n">
        <f aca="false">$B$31*F20*F17</f>
        <v>172380</v>
      </c>
      <c r="G36" s="64" t="n">
        <f aca="false">$B$31*G20*G17</f>
        <v>175827.6</v>
      </c>
      <c r="H36" s="64" t="n">
        <f aca="false">$B$31*H20*H17</f>
        <v>179344.152</v>
      </c>
      <c r="I36" s="64" t="n">
        <f aca="false">$B$31*I20*I17</f>
        <v>182931.03504</v>
      </c>
      <c r="J36" s="64" t="n">
        <f aca="false">$B$31*J20*J17</f>
        <v>186589.6557408</v>
      </c>
      <c r="K36" s="64" t="n">
        <f aca="false">$B$31*K20*K17</f>
        <v>190321.448855616</v>
      </c>
      <c r="L36" s="64" t="n">
        <f aca="false">$B$31*L20*L17</f>
        <v>194127.877832728</v>
      </c>
      <c r="M36" s="64" t="n">
        <f aca="false">$B$31*M20*M17</f>
        <v>198010.435389383</v>
      </c>
      <c r="N36" s="64" t="n">
        <f aca="false">$B$31*N20*N17</f>
        <v>201970.644097171</v>
      </c>
      <c r="O36" s="64" t="n">
        <f aca="false">$B$31*O20*O17</f>
        <v>206010.056979114</v>
      </c>
      <c r="P36" s="64" t="n">
        <f aca="false">$B$31*P20*P17</f>
        <v>210130.258118696</v>
      </c>
      <c r="Q36" s="64" t="n">
        <f aca="false">$B$31*Q20*Q17</f>
        <v>214332.86328107</v>
      </c>
      <c r="R36" s="64" t="n">
        <f aca="false">$B$31*R20*R17</f>
        <v>218619.520546692</v>
      </c>
      <c r="S36" s="64" t="n">
        <f aca="false">$B$31*S20*S17</f>
        <v>222991.910957625</v>
      </c>
      <c r="T36" s="64" t="n">
        <f aca="false">$B$31*T20*T17</f>
        <v>227451.749176778</v>
      </c>
      <c r="U36" s="64" t="n">
        <f aca="false">$B$31*U20*U17</f>
        <v>232000.784160314</v>
      </c>
      <c r="V36" s="64" t="n">
        <f aca="false">$B$31*V20*V17</f>
        <v>236640.79984352</v>
      </c>
      <c r="W36" s="64" t="n">
        <f aca="false">$B$31*W20*W17</f>
        <v>241373.61584039</v>
      </c>
      <c r="X36" s="64" t="n">
        <f aca="false">$B$31*X20*X17</f>
        <v>246201.088157198</v>
      </c>
      <c r="Y36" s="64" t="n">
        <f aca="false">$B$31*Y20*Y17</f>
        <v>251125.109920342</v>
      </c>
      <c r="Z36" s="64" t="n">
        <f aca="false">$B$31*Z20*Z17</f>
        <v>256147.612118749</v>
      </c>
      <c r="AA36" s="64" t="n">
        <f aca="false">$B$31*AA20*AA17</f>
        <v>261270.564361124</v>
      </c>
      <c r="AB36" s="64" t="n">
        <f aca="false">$B$31*AB20*AB17</f>
        <v>266495.975648346</v>
      </c>
      <c r="AC36" s="64" t="n">
        <f aca="false">$B$31*AC20*AC17</f>
        <v>271825.895161313</v>
      </c>
      <c r="AD36" s="64" t="n">
        <f aca="false">$B$31*AD20*AD17</f>
        <v>277262.41306454</v>
      </c>
      <c r="AE36" s="64" t="n">
        <f aca="false">$B$31*AE20*AE17</f>
        <v>282807.66132583</v>
      </c>
      <c r="AF36" s="64" t="n">
        <f aca="false">$B$31*AF20*AF17</f>
        <v>288463.814552347</v>
      </c>
      <c r="AG36" s="64" t="n">
        <f aca="false">$B$31*AG20*AG17</f>
        <v>294233.090843394</v>
      </c>
      <c r="AH36" s="64" t="n">
        <f aca="false">$B$31*AH20*AH17</f>
        <v>300117.752660262</v>
      </c>
      <c r="AI36" s="64" t="n">
        <f aca="false">$B$31*AI20*AI17</f>
        <v>306120.107713467</v>
      </c>
      <c r="AJ36" s="64" t="n">
        <f aca="false">$B$31*AJ20*AJ17</f>
        <v>312242.509867736</v>
      </c>
      <c r="AK36" s="64" t="n">
        <f aca="false">$B$31*AK20*AK17</f>
        <v>318487.360065091</v>
      </c>
      <c r="AL36" s="64" t="n">
        <f aca="false">$B$31*AL20*AL17</f>
        <v>324857.107266393</v>
      </c>
      <c r="AM36" s="64" t="n">
        <f aca="false">$B$31*AM20*AM17</f>
        <v>331354.249411721</v>
      </c>
    </row>
    <row r="37" customFormat="false" ht="15" hidden="false" customHeight="true" outlineLevel="0" collapsed="false">
      <c r="A37" s="8" t="s">
        <v>369</v>
      </c>
      <c r="C37" s="10" t="s">
        <v>29</v>
      </c>
      <c r="D37" s="59" t="n">
        <f aca="false">SUM(E37:AM37)</f>
        <v>11698707.7661507</v>
      </c>
      <c r="E37" s="64" t="n">
        <f aca="false">$B$32*E21*E17</f>
        <v>234000</v>
      </c>
      <c r="F37" s="64" t="n">
        <f aca="false">$B$32*F21*F17</f>
        <v>238680</v>
      </c>
      <c r="G37" s="64" t="n">
        <f aca="false">$B$32*G21*G17</f>
        <v>243453.6</v>
      </c>
      <c r="H37" s="64" t="n">
        <f aca="false">$B$32*H21*H17</f>
        <v>248322.672</v>
      </c>
      <c r="I37" s="64" t="n">
        <f aca="false">$B$32*I21*I17</f>
        <v>253289.12544</v>
      </c>
      <c r="J37" s="64" t="n">
        <f aca="false">$B$32*J21*J17</f>
        <v>258354.9079488</v>
      </c>
      <c r="K37" s="64" t="n">
        <f aca="false">$B$32*K21*K17</f>
        <v>263522.006107776</v>
      </c>
      <c r="L37" s="64" t="n">
        <f aca="false">$B$32*L21*L17</f>
        <v>268792.446229932</v>
      </c>
      <c r="M37" s="64" t="n">
        <f aca="false">$B$32*M21*M17</f>
        <v>274168.29515453</v>
      </c>
      <c r="N37" s="64" t="n">
        <f aca="false">$B$32*N21*N17</f>
        <v>279651.661057621</v>
      </c>
      <c r="O37" s="64" t="n">
        <f aca="false">$B$32*O21*O17</f>
        <v>285244.694278773</v>
      </c>
      <c r="P37" s="64" t="n">
        <f aca="false">$B$32*P21*P17</f>
        <v>290949.588164349</v>
      </c>
      <c r="Q37" s="64" t="n">
        <f aca="false">$B$32*Q21*Q17</f>
        <v>296768.579927636</v>
      </c>
      <c r="R37" s="64" t="n">
        <f aca="false">$B$32*R21*R17</f>
        <v>302703.951526188</v>
      </c>
      <c r="S37" s="64" t="n">
        <f aca="false">$B$32*S21*S17</f>
        <v>308758.030556712</v>
      </c>
      <c r="T37" s="64" t="n">
        <f aca="false">$B$32*T21*T17</f>
        <v>314933.191167846</v>
      </c>
      <c r="U37" s="64" t="n">
        <f aca="false">$B$32*U21*U17</f>
        <v>321231.854991203</v>
      </c>
      <c r="V37" s="64" t="n">
        <f aca="false">$B$32*V21*V17</f>
        <v>327656.492091027</v>
      </c>
      <c r="W37" s="64" t="n">
        <f aca="false">$B$32*W21*W17</f>
        <v>334209.621932848</v>
      </c>
      <c r="X37" s="64" t="n">
        <f aca="false">$B$32*X21*X17</f>
        <v>340893.814371505</v>
      </c>
      <c r="Y37" s="64" t="n">
        <f aca="false">$B$32*Y21*Y17</f>
        <v>347711.690658935</v>
      </c>
      <c r="Z37" s="64" t="n">
        <f aca="false">$B$32*Z21*Z17</f>
        <v>354665.924472114</v>
      </c>
      <c r="AA37" s="64" t="n">
        <f aca="false">$B$32*AA21*AA17</f>
        <v>361759.242961556</v>
      </c>
      <c r="AB37" s="64" t="n">
        <f aca="false">$B$32*AB21*AB17</f>
        <v>368994.427820787</v>
      </c>
      <c r="AC37" s="64" t="n">
        <f aca="false">$B$32*AC21*AC17</f>
        <v>376374.316377203</v>
      </c>
      <c r="AD37" s="64" t="n">
        <f aca="false">$B$32*AD21*AD17</f>
        <v>383901.802704747</v>
      </c>
      <c r="AE37" s="64" t="n">
        <f aca="false">$B$32*AE21*AE17</f>
        <v>391579.838758842</v>
      </c>
      <c r="AF37" s="64" t="n">
        <f aca="false">$B$32*AF21*AF17</f>
        <v>399411.435534019</v>
      </c>
      <c r="AG37" s="64" t="n">
        <f aca="false">$B$32*AG21*AG17</f>
        <v>407399.664244699</v>
      </c>
      <c r="AH37" s="64" t="n">
        <f aca="false">$B$32*AH21*AH17</f>
        <v>415547.657529593</v>
      </c>
      <c r="AI37" s="64" t="n">
        <f aca="false">$B$32*AI21*AI17</f>
        <v>423858.610680185</v>
      </c>
      <c r="AJ37" s="64" t="n">
        <f aca="false">$B$32*AJ21*AJ17</f>
        <v>432335.782893789</v>
      </c>
      <c r="AK37" s="64" t="n">
        <f aca="false">$B$32*AK21*AK17</f>
        <v>440982.498551664</v>
      </c>
      <c r="AL37" s="64" t="n">
        <f aca="false">$B$32*AL21*AL17</f>
        <v>449802.148522698</v>
      </c>
      <c r="AM37" s="64" t="n">
        <f aca="false">$B$32*AM21*AM17</f>
        <v>458798.191493152</v>
      </c>
    </row>
    <row r="38" customFormat="false" ht="15" hidden="false" customHeight="true" outlineLevel="0" collapsed="false">
      <c r="A38" s="8" t="s">
        <v>127</v>
      </c>
      <c r="C38" s="10" t="s">
        <v>29</v>
      </c>
      <c r="D38" s="59" t="n">
        <f aca="false">SUM(E38:AM38)</f>
        <v>18747929.112421</v>
      </c>
      <c r="E38" s="64" t="n">
        <f aca="false">$B$12*E22*E17</f>
        <v>375000</v>
      </c>
      <c r="F38" s="64" t="n">
        <f aca="false">$B$12*F22*F17</f>
        <v>382500</v>
      </c>
      <c r="G38" s="64" t="n">
        <f aca="false">$B$12*G22*G17</f>
        <v>390150</v>
      </c>
      <c r="H38" s="64" t="n">
        <f aca="false">$B$12*H22*H17</f>
        <v>397953</v>
      </c>
      <c r="I38" s="64" t="n">
        <f aca="false">$B$12*I22*I17</f>
        <v>405912.06</v>
      </c>
      <c r="J38" s="64" t="n">
        <f aca="false">$B$12*J22*J17</f>
        <v>414030.3012</v>
      </c>
      <c r="K38" s="64" t="n">
        <f aca="false">$B$12*K22*K17</f>
        <v>422310.907224</v>
      </c>
      <c r="L38" s="64" t="n">
        <f aca="false">$B$12*L22*L17</f>
        <v>430757.12536848</v>
      </c>
      <c r="M38" s="64" t="n">
        <f aca="false">$B$12*M22*M17</f>
        <v>439372.26787585</v>
      </c>
      <c r="N38" s="64" t="n">
        <f aca="false">$B$12*N22*N17</f>
        <v>448159.713233367</v>
      </c>
      <c r="O38" s="64" t="n">
        <f aca="false">$B$12*O22*O17</f>
        <v>457122.907498034</v>
      </c>
      <c r="P38" s="64" t="n">
        <f aca="false">$B$12*P22*P17</f>
        <v>466265.365647995</v>
      </c>
      <c r="Q38" s="64" t="n">
        <f aca="false">$B$12*Q22*Q17</f>
        <v>475590.672960955</v>
      </c>
      <c r="R38" s="64" t="n">
        <f aca="false">$B$12*R22*R17</f>
        <v>485102.486420174</v>
      </c>
      <c r="S38" s="64" t="n">
        <f aca="false">$B$12*S22*S17</f>
        <v>494804.536148577</v>
      </c>
      <c r="T38" s="64" t="n">
        <f aca="false">$B$12*T22*T17</f>
        <v>504700.626871549</v>
      </c>
      <c r="U38" s="64" t="n">
        <f aca="false">$B$12*U22*U17</f>
        <v>514794.63940898</v>
      </c>
      <c r="V38" s="64" t="n">
        <f aca="false">$B$12*V22*V17</f>
        <v>525090.532197159</v>
      </c>
      <c r="W38" s="64" t="n">
        <f aca="false">$B$12*W22*W17</f>
        <v>535592.342841103</v>
      </c>
      <c r="X38" s="64" t="n">
        <f aca="false">$B$12*X22*X17</f>
        <v>546304.189697925</v>
      </c>
      <c r="Y38" s="64" t="n">
        <f aca="false">$B$12*Y22*Y17</f>
        <v>557230.273491883</v>
      </c>
      <c r="Z38" s="64" t="n">
        <f aca="false">$B$12*Z22*Z17</f>
        <v>568374.878961721</v>
      </c>
      <c r="AA38" s="64" t="n">
        <f aca="false">$B$12*AA22*AA17</f>
        <v>579742.376540955</v>
      </c>
      <c r="AB38" s="64" t="n">
        <f aca="false">$B$12*AB22*AB17</f>
        <v>591337.224071774</v>
      </c>
      <c r="AC38" s="64" t="n">
        <f aca="false">$B$12*AC22*AC17</f>
        <v>603163.96855321</v>
      </c>
      <c r="AD38" s="64" t="n">
        <f aca="false">$B$12*AD22*AD17</f>
        <v>615227.247924274</v>
      </c>
      <c r="AE38" s="64" t="n">
        <f aca="false">$B$12*AE22*AE17</f>
        <v>627531.79288276</v>
      </c>
      <c r="AF38" s="64" t="n">
        <f aca="false">$B$12*AF22*AF17</f>
        <v>640082.428740415</v>
      </c>
      <c r="AG38" s="64" t="n">
        <f aca="false">$B$12*AG22*AG17</f>
        <v>652884.077315223</v>
      </c>
      <c r="AH38" s="64" t="n">
        <f aca="false">$B$12*AH22*AH17</f>
        <v>665941.758861527</v>
      </c>
      <c r="AI38" s="64" t="n">
        <f aca="false">$B$12*AI22*AI17</f>
        <v>679260.594038758</v>
      </c>
      <c r="AJ38" s="64" t="n">
        <f aca="false">$B$12*AJ22*AJ17</f>
        <v>692845.805919533</v>
      </c>
      <c r="AK38" s="64" t="n">
        <f aca="false">$B$12*AK22*AK17</f>
        <v>706702.722037924</v>
      </c>
      <c r="AL38" s="64" t="n">
        <f aca="false">$B$12*AL22*AL17</f>
        <v>720836.776478682</v>
      </c>
      <c r="AM38" s="64" t="n">
        <f aca="false">$B$12*AM22*AM17</f>
        <v>735253.512008256</v>
      </c>
    </row>
    <row r="39" customFormat="false" ht="15" hidden="false" customHeight="true" outlineLevel="0" collapsed="false">
      <c r="A39" s="8" t="s">
        <v>370</v>
      </c>
      <c r="C39" s="10" t="s">
        <v>29</v>
      </c>
      <c r="D39" s="59" t="n">
        <f aca="false">SUM(E39:AM39)</f>
        <v>1600000</v>
      </c>
      <c r="E39" s="64" t="n">
        <f aca="false">$B$33*E18</f>
        <v>80000</v>
      </c>
      <c r="F39" s="64" t="n">
        <f aca="false">$B$33*F18</f>
        <v>80000</v>
      </c>
      <c r="G39" s="64" t="n">
        <f aca="false">$B$33*G18</f>
        <v>80000</v>
      </c>
      <c r="H39" s="64" t="n">
        <f aca="false">$B$33*H18</f>
        <v>80000</v>
      </c>
      <c r="I39" s="64" t="n">
        <f aca="false">$B$33*I18</f>
        <v>80000</v>
      </c>
      <c r="J39" s="64" t="n">
        <f aca="false">$B$33*J18</f>
        <v>80000</v>
      </c>
      <c r="K39" s="64" t="n">
        <f aca="false">$B$33*K18</f>
        <v>80000</v>
      </c>
      <c r="L39" s="64" t="n">
        <f aca="false">$B$33*L18</f>
        <v>80000</v>
      </c>
      <c r="M39" s="64" t="n">
        <f aca="false">$B$33*M18</f>
        <v>80000</v>
      </c>
      <c r="N39" s="64" t="n">
        <f aca="false">$B$33*N18</f>
        <v>80000</v>
      </c>
      <c r="O39" s="64" t="n">
        <f aca="false">$B$33*O18</f>
        <v>80000</v>
      </c>
      <c r="P39" s="64" t="n">
        <f aca="false">$B$33*P18</f>
        <v>80000</v>
      </c>
      <c r="Q39" s="64" t="n">
        <f aca="false">$B$33*Q18</f>
        <v>80000</v>
      </c>
      <c r="R39" s="64" t="n">
        <f aca="false">$B$33*R18</f>
        <v>80000</v>
      </c>
      <c r="S39" s="64" t="n">
        <f aca="false">$B$33*S18</f>
        <v>80000</v>
      </c>
      <c r="T39" s="64" t="n">
        <f aca="false">$B$33*T18</f>
        <v>80000</v>
      </c>
      <c r="U39" s="64" t="n">
        <f aca="false">$B$33*U18</f>
        <v>80000</v>
      </c>
      <c r="V39" s="64" t="n">
        <f aca="false">$B$33*V18</f>
        <v>80000</v>
      </c>
      <c r="W39" s="64" t="n">
        <f aca="false">$B$33*W18</f>
        <v>80000</v>
      </c>
      <c r="X39" s="64" t="n">
        <f aca="false">$B$33*X18</f>
        <v>80000</v>
      </c>
      <c r="Y39" s="64" t="n">
        <f aca="false">$B$33*Y18</f>
        <v>0</v>
      </c>
      <c r="Z39" s="64" t="n">
        <f aca="false">$B$33*Z18</f>
        <v>0</v>
      </c>
      <c r="AA39" s="64" t="n">
        <f aca="false">$B$33*AA18</f>
        <v>0</v>
      </c>
      <c r="AB39" s="64" t="n">
        <f aca="false">$B$33*AB18</f>
        <v>0</v>
      </c>
      <c r="AC39" s="64" t="n">
        <f aca="false">$B$33*AC18</f>
        <v>0</v>
      </c>
      <c r="AD39" s="64" t="n">
        <f aca="false">$B$33*AD18</f>
        <v>0</v>
      </c>
      <c r="AE39" s="64" t="n">
        <f aca="false">$B$33*AE18</f>
        <v>0</v>
      </c>
      <c r="AF39" s="64" t="n">
        <f aca="false">$B$33*AF18</f>
        <v>0</v>
      </c>
      <c r="AG39" s="64" t="n">
        <f aca="false">$B$33*AG18</f>
        <v>0</v>
      </c>
      <c r="AH39" s="64" t="n">
        <f aca="false">$B$33*AH18</f>
        <v>0</v>
      </c>
      <c r="AI39" s="64" t="n">
        <f aca="false">$B$33*AI18</f>
        <v>0</v>
      </c>
      <c r="AJ39" s="64" t="n">
        <f aca="false">$B$33*AJ18</f>
        <v>0</v>
      </c>
      <c r="AK39" s="64" t="n">
        <f aca="false">$B$33*AK18</f>
        <v>0</v>
      </c>
      <c r="AL39" s="64" t="n">
        <f aca="false">$B$33*AL18</f>
        <v>0</v>
      </c>
      <c r="AM39" s="64" t="n">
        <f aca="false">$B$33*AM18</f>
        <v>0</v>
      </c>
    </row>
    <row r="40" customFormat="false" ht="15" hidden="false" customHeight="true" outlineLevel="0" collapsed="false">
      <c r="A40" s="8" t="s">
        <v>371</v>
      </c>
      <c r="C40" s="10" t="s">
        <v>29</v>
      </c>
      <c r="D40" s="59" t="n">
        <f aca="false">SUM(E40:AM40)</f>
        <v>1560000</v>
      </c>
      <c r="E40" s="64" t="n">
        <f aca="false">$B$30*E19</f>
        <v>0</v>
      </c>
      <c r="F40" s="64" t="n">
        <f aca="false">$B$30*F19</f>
        <v>0</v>
      </c>
      <c r="G40" s="64" t="n">
        <f aca="false">$B$30*G19</f>
        <v>0</v>
      </c>
      <c r="H40" s="64" t="n">
        <f aca="false">$B$30*H19</f>
        <v>0</v>
      </c>
      <c r="I40" s="64" t="n">
        <f aca="false">$B$30*I19</f>
        <v>0</v>
      </c>
      <c r="J40" s="64" t="n">
        <f aca="false">$B$30*J19</f>
        <v>0</v>
      </c>
      <c r="K40" s="64" t="n">
        <f aca="false">$B$30*K19</f>
        <v>0</v>
      </c>
      <c r="L40" s="64" t="n">
        <f aca="false">$B$30*L19</f>
        <v>0</v>
      </c>
      <c r="M40" s="64" t="n">
        <f aca="false">$B$30*M19</f>
        <v>0</v>
      </c>
      <c r="N40" s="64" t="n">
        <f aca="false">$B$30*N19</f>
        <v>156000</v>
      </c>
      <c r="O40" s="64" t="n">
        <f aca="false">$B$30*O19</f>
        <v>156000</v>
      </c>
      <c r="P40" s="64" t="n">
        <f aca="false">$B$30*P19</f>
        <v>156000</v>
      </c>
      <c r="Q40" s="64" t="n">
        <f aca="false">$B$30*Q19</f>
        <v>156000</v>
      </c>
      <c r="R40" s="64" t="n">
        <f aca="false">$B$30*R19</f>
        <v>156000</v>
      </c>
      <c r="S40" s="64" t="n">
        <f aca="false">$B$30*S19</f>
        <v>156000</v>
      </c>
      <c r="T40" s="64" t="n">
        <f aca="false">$B$30*T19</f>
        <v>156000</v>
      </c>
      <c r="U40" s="64" t="n">
        <f aca="false">$B$30*U19</f>
        <v>156000</v>
      </c>
      <c r="V40" s="64" t="n">
        <f aca="false">$B$30*V19</f>
        <v>156000</v>
      </c>
      <c r="W40" s="64" t="n">
        <f aca="false">$B$30*W19</f>
        <v>156000</v>
      </c>
      <c r="X40" s="64" t="n">
        <f aca="false">$B$30*X19</f>
        <v>0</v>
      </c>
      <c r="Y40" s="64" t="n">
        <f aca="false">$B$30*Y19</f>
        <v>0</v>
      </c>
      <c r="Z40" s="64" t="n">
        <f aca="false">$B$30*Z19</f>
        <v>0</v>
      </c>
      <c r="AA40" s="64" t="n">
        <f aca="false">$B$30*AA19</f>
        <v>0</v>
      </c>
      <c r="AB40" s="64" t="n">
        <f aca="false">$B$30*AB19</f>
        <v>0</v>
      </c>
      <c r="AC40" s="64" t="n">
        <f aca="false">$B$30*AC19</f>
        <v>0</v>
      </c>
      <c r="AD40" s="64" t="n">
        <f aca="false">$B$30*AD19</f>
        <v>0</v>
      </c>
      <c r="AE40" s="64" t="n">
        <f aca="false">$B$30*AE19</f>
        <v>0</v>
      </c>
      <c r="AF40" s="64" t="n">
        <f aca="false">$B$30*AF19</f>
        <v>0</v>
      </c>
      <c r="AG40" s="64" t="n">
        <f aca="false">$B$30*AG19</f>
        <v>0</v>
      </c>
      <c r="AH40" s="64" t="n">
        <f aca="false">$B$30*AH19</f>
        <v>0</v>
      </c>
      <c r="AI40" s="64" t="n">
        <f aca="false">$B$30*AI19</f>
        <v>0</v>
      </c>
      <c r="AJ40" s="64" t="n">
        <f aca="false">$B$30*AJ19</f>
        <v>0</v>
      </c>
      <c r="AK40" s="64" t="n">
        <f aca="false">$B$30*AK19</f>
        <v>0</v>
      </c>
      <c r="AL40" s="64" t="n">
        <f aca="false">$B$30*AL19</f>
        <v>0</v>
      </c>
      <c r="AM40" s="64" t="n">
        <f aca="false">$B$30*AM19</f>
        <v>0</v>
      </c>
    </row>
    <row r="41" customFormat="false" ht="15" hidden="false" customHeight="true" outlineLevel="0" collapsed="false">
      <c r="A41" s="8" t="s">
        <v>372</v>
      </c>
      <c r="C41" s="10" t="s">
        <v>29</v>
      </c>
      <c r="D41" s="59" t="n">
        <f aca="false">SUM(E41:AM41)</f>
        <v>42055703.5985695</v>
      </c>
      <c r="E41" s="44" t="n">
        <f aca="false">SUM(E36:E40)</f>
        <v>858000</v>
      </c>
      <c r="F41" s="44" t="n">
        <f aca="false">SUM(F36:F40)</f>
        <v>873560</v>
      </c>
      <c r="G41" s="44" t="n">
        <f aca="false">SUM(G36:G40)</f>
        <v>889431.2</v>
      </c>
      <c r="H41" s="44" t="n">
        <f aca="false">SUM(H36:H40)</f>
        <v>905619.824</v>
      </c>
      <c r="I41" s="44" t="n">
        <f aca="false">SUM(I36:I40)</f>
        <v>922132.22048</v>
      </c>
      <c r="J41" s="44" t="n">
        <f aca="false">SUM(J36:J40)</f>
        <v>938974.8648896</v>
      </c>
      <c r="K41" s="44" t="n">
        <f aca="false">SUM(K36:K40)</f>
        <v>956154.362187392</v>
      </c>
      <c r="L41" s="44" t="n">
        <f aca="false">SUM(L36:L40)</f>
        <v>973677.44943114</v>
      </c>
      <c r="M41" s="44" t="n">
        <f aca="false">SUM(M36:M40)</f>
        <v>991550.998419763</v>
      </c>
      <c r="N41" s="44" t="n">
        <f aca="false">SUM(N36:N40)</f>
        <v>1165782.01838816</v>
      </c>
      <c r="O41" s="44" t="n">
        <f aca="false">SUM(O36:O40)</f>
        <v>1184377.65875592</v>
      </c>
      <c r="P41" s="44" t="n">
        <f aca="false">SUM(P36:P40)</f>
        <v>1203345.21193104</v>
      </c>
      <c r="Q41" s="44" t="n">
        <f aca="false">SUM(Q36:Q40)</f>
        <v>1222692.11616966</v>
      </c>
      <c r="R41" s="44" t="n">
        <f aca="false">SUM(R36:R40)</f>
        <v>1242425.95849305</v>
      </c>
      <c r="S41" s="44" t="n">
        <f aca="false">SUM(S36:S40)</f>
        <v>1262554.47766291</v>
      </c>
      <c r="T41" s="44" t="n">
        <f aca="false">SUM(T36:T40)</f>
        <v>1283085.56721617</v>
      </c>
      <c r="U41" s="44" t="n">
        <f aca="false">SUM(U36:U40)</f>
        <v>1304027.2785605</v>
      </c>
      <c r="V41" s="44" t="n">
        <f aca="false">SUM(V36:V40)</f>
        <v>1325387.82413171</v>
      </c>
      <c r="W41" s="44" t="n">
        <f aca="false">SUM(W36:W40)</f>
        <v>1347175.58061434</v>
      </c>
      <c r="X41" s="44" t="n">
        <f aca="false">SUM(X36:X40)</f>
        <v>1213399.09222663</v>
      </c>
      <c r="Y41" s="44" t="n">
        <f aca="false">SUM(Y36:Y40)</f>
        <v>1156067.07407116</v>
      </c>
      <c r="Z41" s="44" t="n">
        <f aca="false">SUM(Z36:Z40)</f>
        <v>1179188.41555258</v>
      </c>
      <c r="AA41" s="44" t="n">
        <f aca="false">SUM(AA36:AA40)</f>
        <v>1202772.18386364</v>
      </c>
      <c r="AB41" s="44" t="n">
        <f aca="false">SUM(AB36:AB40)</f>
        <v>1226827.62754091</v>
      </c>
      <c r="AC41" s="44" t="n">
        <f aca="false">SUM(AC36:AC40)</f>
        <v>1251364.18009173</v>
      </c>
      <c r="AD41" s="44" t="n">
        <f aca="false">SUM(AD36:AD40)</f>
        <v>1276391.46369356</v>
      </c>
      <c r="AE41" s="44" t="n">
        <f aca="false">SUM(AE36:AE40)</f>
        <v>1301919.29296743</v>
      </c>
      <c r="AF41" s="44" t="n">
        <f aca="false">SUM(AF36:AF40)</f>
        <v>1327957.67882678</v>
      </c>
      <c r="AG41" s="44" t="n">
        <f aca="false">SUM(AG36:AG40)</f>
        <v>1354516.83240332</v>
      </c>
      <c r="AH41" s="44" t="n">
        <f aca="false">SUM(AH36:AH40)</f>
        <v>1381607.16905138</v>
      </c>
      <c r="AI41" s="44" t="n">
        <f aca="false">SUM(AI36:AI40)</f>
        <v>1409239.31243241</v>
      </c>
      <c r="AJ41" s="44" t="n">
        <f aca="false">SUM(AJ36:AJ40)</f>
        <v>1437424.09868106</v>
      </c>
      <c r="AK41" s="44" t="n">
        <f aca="false">SUM(AK36:AK40)</f>
        <v>1466172.58065468</v>
      </c>
      <c r="AL41" s="44" t="n">
        <f aca="false">SUM(AL36:AL40)</f>
        <v>1495496.03226777</v>
      </c>
      <c r="AM41" s="44" t="n">
        <f aca="false">SUM(AM36:AM40)</f>
        <v>1525405.95291313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5" topLeftCell="E6" activePane="bottomRight" state="frozen"/>
      <selection pane="topLeft" activeCell="A1" activeCellId="0" sqref="A1"/>
      <selection pane="topRight" activeCell="E1" activeCellId="0" sqref="E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42"/>
    <col collapsed="false" customWidth="true" hidden="false" outlineLevel="0" max="2" min="2" style="1" width="14"/>
    <col collapsed="false" customWidth="true" hidden="false" outlineLevel="0" max="3" min="3" style="1" width="12"/>
    <col collapsed="false" customWidth="true" hidden="false" outlineLevel="0" max="4" min="4" style="1" width="14"/>
    <col collapsed="false" customWidth="true" hidden="false" outlineLevel="0" max="39" min="5" style="1" width="12"/>
  </cols>
  <sheetData>
    <row r="1" customFormat="false" ht="15" hidden="false" customHeight="true" outlineLevel="0" collapsed="false">
      <c r="A1" s="52" t="s">
        <v>373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customFormat="false" ht="15" hidden="false" customHeight="true" outlineLevel="0" collapsed="false">
      <c r="A2" s="4" t="s">
        <v>205</v>
      </c>
      <c r="C2" s="8" t="s">
        <v>206</v>
      </c>
      <c r="E2" s="53" t="n">
        <v>46023</v>
      </c>
      <c r="F2" s="53" t="n">
        <v>46388</v>
      </c>
      <c r="G2" s="53" t="n">
        <v>46753</v>
      </c>
      <c r="H2" s="53" t="n">
        <v>47119</v>
      </c>
      <c r="I2" s="53" t="n">
        <v>47484</v>
      </c>
      <c r="J2" s="53" t="n">
        <v>47849</v>
      </c>
      <c r="K2" s="53" t="n">
        <v>48214</v>
      </c>
      <c r="L2" s="53" t="n">
        <v>48580</v>
      </c>
      <c r="M2" s="53" t="n">
        <v>48945</v>
      </c>
      <c r="N2" s="53" t="n">
        <v>49310</v>
      </c>
      <c r="O2" s="53" t="n">
        <v>49675</v>
      </c>
      <c r="P2" s="53" t="n">
        <v>50041</v>
      </c>
      <c r="Q2" s="53" t="n">
        <v>50406</v>
      </c>
      <c r="R2" s="53" t="n">
        <v>50771</v>
      </c>
      <c r="S2" s="53" t="n">
        <v>51136</v>
      </c>
      <c r="T2" s="53" t="n">
        <v>51502</v>
      </c>
      <c r="U2" s="53" t="n">
        <v>51867</v>
      </c>
      <c r="V2" s="53" t="n">
        <v>52232</v>
      </c>
      <c r="W2" s="53" t="n">
        <v>52597</v>
      </c>
      <c r="X2" s="53" t="n">
        <v>52963</v>
      </c>
      <c r="Y2" s="53" t="n">
        <v>53328</v>
      </c>
      <c r="Z2" s="53" t="n">
        <v>53693</v>
      </c>
      <c r="AA2" s="53" t="n">
        <v>54058</v>
      </c>
      <c r="AB2" s="53" t="n">
        <v>54424</v>
      </c>
      <c r="AC2" s="53" t="n">
        <v>54789</v>
      </c>
      <c r="AD2" s="53" t="n">
        <v>55154</v>
      </c>
      <c r="AE2" s="53" t="n">
        <v>55519</v>
      </c>
      <c r="AF2" s="53" t="n">
        <v>55885</v>
      </c>
      <c r="AG2" s="53" t="n">
        <v>56250</v>
      </c>
      <c r="AH2" s="53" t="n">
        <v>56615</v>
      </c>
      <c r="AI2" s="53" t="n">
        <v>56980</v>
      </c>
      <c r="AJ2" s="53" t="n">
        <v>57346</v>
      </c>
      <c r="AK2" s="53" t="n">
        <v>57711</v>
      </c>
      <c r="AL2" s="53" t="n">
        <v>58076</v>
      </c>
      <c r="AM2" s="53" t="n">
        <v>58441</v>
      </c>
    </row>
    <row r="3" customFormat="false" ht="15" hidden="false" customHeight="true" outlineLevel="0" collapsed="false">
      <c r="A3" s="4" t="s">
        <v>207</v>
      </c>
      <c r="C3" s="8" t="s">
        <v>206</v>
      </c>
      <c r="E3" s="53" t="n">
        <v>46387</v>
      </c>
      <c r="F3" s="53" t="n">
        <v>46752</v>
      </c>
      <c r="G3" s="53" t="n">
        <v>47118</v>
      </c>
      <c r="H3" s="53" t="n">
        <v>47483</v>
      </c>
      <c r="I3" s="53" t="n">
        <v>47848</v>
      </c>
      <c r="J3" s="53" t="n">
        <v>48213</v>
      </c>
      <c r="K3" s="53" t="n">
        <v>48579</v>
      </c>
      <c r="L3" s="53" t="n">
        <v>48944</v>
      </c>
      <c r="M3" s="53" t="n">
        <v>49309</v>
      </c>
      <c r="N3" s="53" t="n">
        <v>49674</v>
      </c>
      <c r="O3" s="53" t="n">
        <v>50040</v>
      </c>
      <c r="P3" s="53" t="n">
        <v>50405</v>
      </c>
      <c r="Q3" s="53" t="n">
        <v>50770</v>
      </c>
      <c r="R3" s="53" t="n">
        <v>51135</v>
      </c>
      <c r="S3" s="53" t="n">
        <v>51501</v>
      </c>
      <c r="T3" s="53" t="n">
        <v>51866</v>
      </c>
      <c r="U3" s="53" t="n">
        <v>52231</v>
      </c>
      <c r="V3" s="53" t="n">
        <v>52596</v>
      </c>
      <c r="W3" s="53" t="n">
        <v>52962</v>
      </c>
      <c r="X3" s="53" t="n">
        <v>53327</v>
      </c>
      <c r="Y3" s="53" t="n">
        <v>53692</v>
      </c>
      <c r="Z3" s="53" t="n">
        <v>54057</v>
      </c>
      <c r="AA3" s="53" t="n">
        <v>54423</v>
      </c>
      <c r="AB3" s="53" t="n">
        <v>54788</v>
      </c>
      <c r="AC3" s="53" t="n">
        <v>55153</v>
      </c>
      <c r="AD3" s="53" t="n">
        <v>55518</v>
      </c>
      <c r="AE3" s="53" t="n">
        <v>55884</v>
      </c>
      <c r="AF3" s="53" t="n">
        <v>56249</v>
      </c>
      <c r="AG3" s="53" t="n">
        <v>56614</v>
      </c>
      <c r="AH3" s="53" t="n">
        <v>56979</v>
      </c>
      <c r="AI3" s="53" t="n">
        <v>57345</v>
      </c>
      <c r="AJ3" s="53" t="n">
        <v>57710</v>
      </c>
      <c r="AK3" s="53" t="n">
        <v>58075</v>
      </c>
      <c r="AL3" s="53" t="n">
        <v>58440</v>
      </c>
      <c r="AM3" s="53" t="n">
        <v>58806</v>
      </c>
    </row>
    <row r="4" customFormat="false" ht="15" hidden="false" customHeight="true" outlineLevel="0" collapsed="false">
      <c r="A4" s="4" t="s">
        <v>208</v>
      </c>
      <c r="C4" s="8" t="s">
        <v>209</v>
      </c>
      <c r="E4" s="54" t="n">
        <v>1</v>
      </c>
      <c r="F4" s="54" t="n">
        <v>2</v>
      </c>
      <c r="G4" s="54" t="n">
        <v>3</v>
      </c>
      <c r="H4" s="54" t="n">
        <v>4</v>
      </c>
      <c r="I4" s="54" t="n">
        <v>5</v>
      </c>
      <c r="J4" s="54" t="n">
        <v>6</v>
      </c>
      <c r="K4" s="54" t="n">
        <v>7</v>
      </c>
      <c r="L4" s="54" t="n">
        <v>8</v>
      </c>
      <c r="M4" s="54" t="n">
        <v>9</v>
      </c>
      <c r="N4" s="54" t="n">
        <v>10</v>
      </c>
      <c r="O4" s="54" t="n">
        <v>11</v>
      </c>
      <c r="P4" s="54" t="n">
        <v>12</v>
      </c>
      <c r="Q4" s="54" t="n">
        <v>13</v>
      </c>
      <c r="R4" s="54" t="n">
        <v>14</v>
      </c>
      <c r="S4" s="54" t="n">
        <v>15</v>
      </c>
      <c r="T4" s="54" t="n">
        <v>16</v>
      </c>
      <c r="U4" s="54" t="n">
        <v>17</v>
      </c>
      <c r="V4" s="54" t="n">
        <v>18</v>
      </c>
      <c r="W4" s="54" t="n">
        <v>19</v>
      </c>
      <c r="X4" s="54" t="n">
        <v>20</v>
      </c>
      <c r="Y4" s="54" t="n">
        <v>21</v>
      </c>
      <c r="Z4" s="54" t="n">
        <v>22</v>
      </c>
      <c r="AA4" s="54" t="n">
        <v>23</v>
      </c>
      <c r="AB4" s="54" t="n">
        <v>24</v>
      </c>
      <c r="AC4" s="54" t="n">
        <v>25</v>
      </c>
      <c r="AD4" s="54" t="n">
        <v>26</v>
      </c>
      <c r="AE4" s="54" t="n">
        <v>27</v>
      </c>
      <c r="AF4" s="54" t="n">
        <v>28</v>
      </c>
      <c r="AG4" s="54" t="n">
        <v>29</v>
      </c>
      <c r="AH4" s="54" t="n">
        <v>30</v>
      </c>
      <c r="AI4" s="54" t="n">
        <v>31</v>
      </c>
      <c r="AJ4" s="54" t="n">
        <v>32</v>
      </c>
      <c r="AK4" s="54" t="n">
        <v>33</v>
      </c>
      <c r="AL4" s="54" t="n">
        <v>34</v>
      </c>
      <c r="AM4" s="54" t="n">
        <v>35</v>
      </c>
    </row>
    <row r="5" customFormat="false" ht="15" hidden="false" customHeight="true" outlineLevel="0" collapsed="false">
      <c r="A5" s="55" t="s">
        <v>210</v>
      </c>
      <c r="B5" s="55" t="s">
        <v>90</v>
      </c>
      <c r="C5" s="55" t="s">
        <v>91</v>
      </c>
      <c r="D5" s="55" t="s">
        <v>211</v>
      </c>
      <c r="E5" s="56" t="n">
        <v>2026</v>
      </c>
      <c r="F5" s="56" t="n">
        <v>2027</v>
      </c>
      <c r="G5" s="56" t="n">
        <v>2028</v>
      </c>
      <c r="H5" s="56" t="n">
        <v>2029</v>
      </c>
      <c r="I5" s="56" t="n">
        <v>2030</v>
      </c>
      <c r="J5" s="56" t="n">
        <v>2031</v>
      </c>
      <c r="K5" s="56" t="n">
        <v>2032</v>
      </c>
      <c r="L5" s="56" t="n">
        <v>2033</v>
      </c>
      <c r="M5" s="56" t="n">
        <v>2034</v>
      </c>
      <c r="N5" s="56" t="n">
        <v>2035</v>
      </c>
      <c r="O5" s="56" t="n">
        <v>2036</v>
      </c>
      <c r="P5" s="56" t="n">
        <v>2037</v>
      </c>
      <c r="Q5" s="56" t="n">
        <v>2038</v>
      </c>
      <c r="R5" s="56" t="n">
        <v>2039</v>
      </c>
      <c r="S5" s="56" t="n">
        <v>2040</v>
      </c>
      <c r="T5" s="56" t="n">
        <v>2041</v>
      </c>
      <c r="U5" s="56" t="n">
        <v>2042</v>
      </c>
      <c r="V5" s="56" t="n">
        <v>2043</v>
      </c>
      <c r="W5" s="56" t="n">
        <v>2044</v>
      </c>
      <c r="X5" s="56" t="n">
        <v>2045</v>
      </c>
      <c r="Y5" s="56" t="n">
        <v>2046</v>
      </c>
      <c r="Z5" s="56" t="n">
        <v>2047</v>
      </c>
      <c r="AA5" s="56" t="n">
        <v>2048</v>
      </c>
      <c r="AB5" s="56" t="n">
        <v>2049</v>
      </c>
      <c r="AC5" s="56" t="n">
        <v>2050</v>
      </c>
      <c r="AD5" s="56" t="n">
        <v>2051</v>
      </c>
      <c r="AE5" s="56" t="n">
        <v>2052</v>
      </c>
      <c r="AF5" s="56" t="n">
        <v>2053</v>
      </c>
      <c r="AG5" s="56" t="n">
        <v>2054</v>
      </c>
      <c r="AH5" s="56" t="n">
        <v>2055</v>
      </c>
      <c r="AI5" s="56" t="n">
        <v>2056</v>
      </c>
      <c r="AJ5" s="56" t="n">
        <v>2057</v>
      </c>
      <c r="AK5" s="56" t="n">
        <v>2058</v>
      </c>
      <c r="AL5" s="56" t="n">
        <v>2059</v>
      </c>
      <c r="AM5" s="56" t="n">
        <v>2060</v>
      </c>
    </row>
    <row r="6" customFormat="false" ht="15" hidden="false" customHeight="true" outlineLevel="0" collapsed="false">
      <c r="A6" s="57" t="s">
        <v>374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</row>
    <row r="7" customFormat="false" ht="15" hidden="false" customHeight="true" outlineLevel="0" collapsed="false">
      <c r="A7" s="8" t="s">
        <v>375</v>
      </c>
      <c r="B7" s="17" t="n">
        <f aca="false">ConCost!B27</f>
        <v>24700000</v>
      </c>
      <c r="C7" s="10" t="s">
        <v>29</v>
      </c>
    </row>
    <row r="8" customFormat="false" ht="15" hidden="false" customHeight="true" outlineLevel="0" collapsed="false">
      <c r="A8" s="8" t="s">
        <v>376</v>
      </c>
      <c r="B8" s="17" t="n">
        <f aca="false">ConCost!B25</f>
        <v>1820000</v>
      </c>
      <c r="C8" s="10" t="s">
        <v>29</v>
      </c>
    </row>
    <row r="9" customFormat="false" ht="15" hidden="false" customHeight="true" outlineLevel="0" collapsed="false">
      <c r="A9" s="8" t="s">
        <v>377</v>
      </c>
      <c r="B9" s="44" t="n">
        <f aca="false">B7+B8</f>
        <v>26520000</v>
      </c>
      <c r="C9" s="10" t="s">
        <v>29</v>
      </c>
    </row>
    <row r="10" customFormat="false" ht="15" hidden="false" customHeight="true" outlineLevel="0" collapsed="false">
      <c r="A10" s="8" t="s">
        <v>378</v>
      </c>
      <c r="B10" s="12" t="n">
        <f aca="false">InpC!B41</f>
        <v>0.95</v>
      </c>
      <c r="C10" s="10" t="s">
        <v>15</v>
      </c>
    </row>
    <row r="11" customFormat="false" ht="15" hidden="false" customHeight="true" outlineLevel="0" collapsed="false">
      <c r="A11" s="8" t="s">
        <v>379</v>
      </c>
      <c r="B11" s="12" t="n">
        <f aca="false">InpC!B42</f>
        <v>0.05</v>
      </c>
      <c r="C11" s="10" t="s">
        <v>15</v>
      </c>
    </row>
    <row r="12" customFormat="false" ht="15" hidden="false" customHeight="true" outlineLevel="0" collapsed="false">
      <c r="A12" s="8" t="s">
        <v>380</v>
      </c>
      <c r="B12" s="9" t="n">
        <f aca="false">InpC!B43</f>
        <v>15</v>
      </c>
      <c r="C12" s="10" t="s">
        <v>104</v>
      </c>
    </row>
    <row r="13" customFormat="false" ht="15" hidden="false" customHeight="true" outlineLevel="0" collapsed="false">
      <c r="A13" s="8" t="s">
        <v>381</v>
      </c>
      <c r="B13" s="12" t="n">
        <f aca="false">InpC!B44</f>
        <v>0.3</v>
      </c>
      <c r="C13" s="10" t="s">
        <v>15</v>
      </c>
    </row>
    <row r="14" customFormat="false" ht="15" hidden="false" customHeight="true" outlineLevel="0" collapsed="false">
      <c r="A14" s="8" t="s">
        <v>382</v>
      </c>
      <c r="B14" s="12" t="n">
        <f aca="false">InpC!B45</f>
        <v>0.5</v>
      </c>
      <c r="C14" s="10" t="s">
        <v>15</v>
      </c>
    </row>
    <row r="15" customFormat="false" ht="15" hidden="false" customHeight="true" outlineLevel="0" collapsed="false">
      <c r="A15" s="8" t="s">
        <v>383</v>
      </c>
      <c r="B15" s="12" t="n">
        <f aca="false">InpC!B59</f>
        <v>0.2</v>
      </c>
      <c r="C15" s="10" t="s">
        <v>15</v>
      </c>
    </row>
    <row r="16" customFormat="false" ht="15" hidden="false" customHeight="true" outlineLevel="0" collapsed="false">
      <c r="A16" s="8" t="s">
        <v>384</v>
      </c>
      <c r="B16" s="12" t="n">
        <f aca="false">InpC!B60</f>
        <v>0.32</v>
      </c>
      <c r="C16" s="10" t="s">
        <v>15</v>
      </c>
    </row>
    <row r="17" customFormat="false" ht="15" hidden="false" customHeight="true" outlineLevel="0" collapsed="false">
      <c r="A17" s="8" t="s">
        <v>385</v>
      </c>
      <c r="B17" s="12" t="n">
        <f aca="false">InpC!B61</f>
        <v>0.192</v>
      </c>
      <c r="C17" s="10" t="s">
        <v>15</v>
      </c>
    </row>
    <row r="18" customFormat="false" ht="15" hidden="false" customHeight="true" outlineLevel="0" collapsed="false">
      <c r="A18" s="8" t="s">
        <v>386</v>
      </c>
      <c r="B18" s="12" t="n">
        <f aca="false">InpC!B62</f>
        <v>0.1152</v>
      </c>
      <c r="C18" s="10" t="s">
        <v>15</v>
      </c>
    </row>
    <row r="19" customFormat="false" ht="15" hidden="false" customHeight="true" outlineLevel="0" collapsed="false">
      <c r="A19" s="8" t="s">
        <v>387</v>
      </c>
      <c r="B19" s="12" t="n">
        <f aca="false">InpC!B63</f>
        <v>0.1152</v>
      </c>
      <c r="C19" s="10" t="s">
        <v>15</v>
      </c>
    </row>
    <row r="20" customFormat="false" ht="15" hidden="false" customHeight="true" outlineLevel="0" collapsed="false">
      <c r="A20" s="8" t="s">
        <v>388</v>
      </c>
      <c r="B20" s="12" t="n">
        <f aca="false">InpC!B64</f>
        <v>0.0576</v>
      </c>
      <c r="C20" s="10" t="s">
        <v>15</v>
      </c>
    </row>
    <row r="21" customFormat="false" ht="15" hidden="false" customHeight="true" outlineLevel="0" collapsed="false">
      <c r="A21" s="8" t="s">
        <v>328</v>
      </c>
      <c r="C21" s="10" t="s">
        <v>42</v>
      </c>
      <c r="E21" s="9" t="n">
        <f aca="false">Time!E12</f>
        <v>1</v>
      </c>
      <c r="F21" s="9" t="n">
        <f aca="false">Time!F12</f>
        <v>2</v>
      </c>
      <c r="G21" s="9" t="n">
        <f aca="false">Time!G12</f>
        <v>3</v>
      </c>
      <c r="H21" s="9" t="n">
        <f aca="false">Time!H12</f>
        <v>4</v>
      </c>
      <c r="I21" s="9" t="n">
        <f aca="false">Time!I12</f>
        <v>5</v>
      </c>
      <c r="J21" s="9" t="n">
        <f aca="false">Time!J12</f>
        <v>6</v>
      </c>
      <c r="K21" s="9" t="n">
        <f aca="false">Time!K12</f>
        <v>7</v>
      </c>
      <c r="L21" s="9" t="n">
        <f aca="false">Time!L12</f>
        <v>8</v>
      </c>
      <c r="M21" s="9" t="n">
        <f aca="false">Time!M12</f>
        <v>9</v>
      </c>
      <c r="N21" s="9" t="n">
        <f aca="false">Time!N12</f>
        <v>10</v>
      </c>
      <c r="O21" s="9" t="n">
        <f aca="false">Time!O12</f>
        <v>11</v>
      </c>
      <c r="P21" s="9" t="n">
        <f aca="false">Time!P12</f>
        <v>12</v>
      </c>
      <c r="Q21" s="9" t="n">
        <f aca="false">Time!Q12</f>
        <v>13</v>
      </c>
      <c r="R21" s="9" t="n">
        <f aca="false">Time!R12</f>
        <v>14</v>
      </c>
      <c r="S21" s="9" t="n">
        <f aca="false">Time!S12</f>
        <v>15</v>
      </c>
      <c r="T21" s="9" t="n">
        <f aca="false">Time!T12</f>
        <v>16</v>
      </c>
      <c r="U21" s="9" t="n">
        <f aca="false">Time!U12</f>
        <v>17</v>
      </c>
      <c r="V21" s="9" t="n">
        <f aca="false">Time!V12</f>
        <v>18</v>
      </c>
      <c r="W21" s="9" t="n">
        <f aca="false">Time!W12</f>
        <v>19</v>
      </c>
      <c r="X21" s="9" t="n">
        <f aca="false">Time!X12</f>
        <v>20</v>
      </c>
      <c r="Y21" s="9" t="n">
        <f aca="false">Time!Y12</f>
        <v>21</v>
      </c>
      <c r="Z21" s="9" t="n">
        <f aca="false">Time!Z12</f>
        <v>22</v>
      </c>
      <c r="AA21" s="9" t="n">
        <f aca="false">Time!AA12</f>
        <v>23</v>
      </c>
      <c r="AB21" s="9" t="n">
        <f aca="false">Time!AB12</f>
        <v>24</v>
      </c>
      <c r="AC21" s="9" t="n">
        <f aca="false">Time!AC12</f>
        <v>25</v>
      </c>
      <c r="AD21" s="9" t="n">
        <f aca="false">Time!AD12</f>
        <v>26</v>
      </c>
      <c r="AE21" s="9" t="n">
        <f aca="false">Time!AE12</f>
        <v>27</v>
      </c>
      <c r="AF21" s="9" t="n">
        <f aca="false">Time!AF12</f>
        <v>28</v>
      </c>
      <c r="AG21" s="9" t="n">
        <f aca="false">Time!AG12</f>
        <v>29</v>
      </c>
      <c r="AH21" s="9" t="n">
        <f aca="false">Time!AH12</f>
        <v>30</v>
      </c>
      <c r="AI21" s="9" t="n">
        <f aca="false">Time!AI12</f>
        <v>31</v>
      </c>
      <c r="AJ21" s="9" t="n">
        <f aca="false">Time!AJ12</f>
        <v>32</v>
      </c>
      <c r="AK21" s="9" t="n">
        <f aca="false">Time!AK12</f>
        <v>33</v>
      </c>
      <c r="AL21" s="9" t="n">
        <f aca="false">Time!AL12</f>
        <v>34</v>
      </c>
      <c r="AM21" s="9" t="n">
        <f aca="false">Time!AM12</f>
        <v>35</v>
      </c>
    </row>
    <row r="23" customFormat="false" ht="15" hidden="false" customHeight="true" outlineLevel="0" collapsed="false">
      <c r="A23" s="57" t="s">
        <v>389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</row>
    <row r="24" customFormat="false" ht="15" hidden="false" customHeight="true" outlineLevel="0" collapsed="false">
      <c r="A24" s="8" t="s">
        <v>390</v>
      </c>
      <c r="B24" s="64" t="n">
        <f aca="false">B9*B10</f>
        <v>25194000</v>
      </c>
      <c r="C24" s="10" t="s">
        <v>29</v>
      </c>
    </row>
    <row r="25" customFormat="false" ht="15" hidden="false" customHeight="true" outlineLevel="0" collapsed="false">
      <c r="A25" s="8" t="s">
        <v>391</v>
      </c>
      <c r="B25" s="64" t="n">
        <f aca="false">B24*B13</f>
        <v>7558200</v>
      </c>
      <c r="C25" s="10" t="s">
        <v>29</v>
      </c>
    </row>
    <row r="26" customFormat="false" ht="15" hidden="false" customHeight="true" outlineLevel="0" collapsed="false">
      <c r="A26" s="8" t="s">
        <v>392</v>
      </c>
      <c r="B26" s="64" t="n">
        <f aca="false">B25*B14</f>
        <v>3779100</v>
      </c>
      <c r="C26" s="10" t="s">
        <v>29</v>
      </c>
    </row>
    <row r="27" customFormat="false" ht="15" hidden="false" customHeight="true" outlineLevel="0" collapsed="false">
      <c r="A27" s="8" t="s">
        <v>393</v>
      </c>
      <c r="B27" s="44" t="n">
        <f aca="false">B24-B26</f>
        <v>21414900</v>
      </c>
      <c r="C27" s="10" t="s">
        <v>29</v>
      </c>
    </row>
    <row r="28" customFormat="false" ht="15" hidden="false" customHeight="true" outlineLevel="0" collapsed="false">
      <c r="A28" s="8" t="s">
        <v>394</v>
      </c>
      <c r="B28" s="64" t="n">
        <f aca="false">B9*B11</f>
        <v>1326000</v>
      </c>
      <c r="C28" s="10" t="s">
        <v>29</v>
      </c>
    </row>
    <row r="30" customFormat="false" ht="15" hidden="false" customHeight="true" outlineLevel="0" collapsed="false">
      <c r="A30" s="57" t="s">
        <v>395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</row>
    <row r="31" customFormat="false" ht="15" hidden="false" customHeight="true" outlineLevel="0" collapsed="false">
      <c r="A31" s="8" t="s">
        <v>396</v>
      </c>
      <c r="C31" s="10" t="s">
        <v>29</v>
      </c>
      <c r="D31" s="59" t="n">
        <f aca="false">SUM(E31:AM31)</f>
        <v>21414900</v>
      </c>
      <c r="E31" s="64" t="n">
        <f aca="false">IF(AND(E21&gt;=1,E21&lt;=6),$B$27*INDEX($B$15:$B$20,E21),0)</f>
        <v>4282980</v>
      </c>
      <c r="F31" s="64" t="n">
        <f aca="false">IF(AND(F21&gt;=1,F21&lt;=6),$B$27*INDEX($B$15:$B$20,F21),0)</f>
        <v>6852768</v>
      </c>
      <c r="G31" s="64" t="n">
        <f aca="false">IF(AND(G21&gt;=1,G21&lt;=6),$B$27*INDEX($B$15:$B$20,G21),0)</f>
        <v>4111660.8</v>
      </c>
      <c r="H31" s="64" t="n">
        <f aca="false">IF(AND(H21&gt;=1,H21&lt;=6),$B$27*INDEX($B$15:$B$20,H21),0)</f>
        <v>2466996.48</v>
      </c>
      <c r="I31" s="64" t="n">
        <f aca="false">IF(AND(I21&gt;=1,I21&lt;=6),$B$27*INDEX($B$15:$B$20,I21),0)</f>
        <v>2466996.48</v>
      </c>
      <c r="J31" s="64" t="n">
        <f aca="false">IF(AND(J21&gt;=1,J21&lt;=6),$B$27*INDEX($B$15:$B$20,J21),0)</f>
        <v>1233498.24</v>
      </c>
      <c r="K31" s="64" t="n">
        <f aca="false">IF(AND(K21&gt;=1,K21&lt;=6),$B$27*INDEX($B$15:$B$20,K21),0)</f>
        <v>0</v>
      </c>
      <c r="L31" s="64" t="n">
        <f aca="false">IF(AND(L21&gt;=1,L21&lt;=6),$B$27*INDEX($B$15:$B$20,L21),0)</f>
        <v>0</v>
      </c>
      <c r="M31" s="64" t="n">
        <f aca="false">IF(AND(M21&gt;=1,M21&lt;=6),$B$27*INDEX($B$15:$B$20,M21),0)</f>
        <v>0</v>
      </c>
      <c r="N31" s="64" t="n">
        <f aca="false">IF(AND(N21&gt;=1,N21&lt;=6),$B$27*INDEX($B$15:$B$20,N21),0)</f>
        <v>0</v>
      </c>
      <c r="O31" s="64" t="n">
        <f aca="false">IF(AND(O21&gt;=1,O21&lt;=6),$B$27*INDEX($B$15:$B$20,O21),0)</f>
        <v>0</v>
      </c>
      <c r="P31" s="64" t="n">
        <f aca="false">IF(AND(P21&gt;=1,P21&lt;=6),$B$27*INDEX($B$15:$B$20,P21),0)</f>
        <v>0</v>
      </c>
      <c r="Q31" s="64" t="n">
        <f aca="false">IF(AND(Q21&gt;=1,Q21&lt;=6),$B$27*INDEX($B$15:$B$20,Q21),0)</f>
        <v>0</v>
      </c>
      <c r="R31" s="64" t="n">
        <f aca="false">IF(AND(R21&gt;=1,R21&lt;=6),$B$27*INDEX($B$15:$B$20,R21),0)</f>
        <v>0</v>
      </c>
      <c r="S31" s="64" t="n">
        <f aca="false">IF(AND(S21&gt;=1,S21&lt;=6),$B$27*INDEX($B$15:$B$20,S21),0)</f>
        <v>0</v>
      </c>
      <c r="T31" s="64" t="n">
        <f aca="false">IF(AND(T21&gt;=1,T21&lt;=6),$B$27*INDEX($B$15:$B$20,T21),0)</f>
        <v>0</v>
      </c>
      <c r="U31" s="64" t="n">
        <f aca="false">IF(AND(U21&gt;=1,U21&lt;=6),$B$27*INDEX($B$15:$B$20,U21),0)</f>
        <v>0</v>
      </c>
      <c r="V31" s="64" t="n">
        <f aca="false">IF(AND(V21&gt;=1,V21&lt;=6),$B$27*INDEX($B$15:$B$20,V21),0)</f>
        <v>0</v>
      </c>
      <c r="W31" s="64" t="n">
        <f aca="false">IF(AND(W21&gt;=1,W21&lt;=6),$B$27*INDEX($B$15:$B$20,W21),0)</f>
        <v>0</v>
      </c>
      <c r="X31" s="64" t="n">
        <f aca="false">IF(AND(X21&gt;=1,X21&lt;=6),$B$27*INDEX($B$15:$B$20,X21),0)</f>
        <v>0</v>
      </c>
      <c r="Y31" s="64" t="n">
        <f aca="false">IF(AND(Y21&gt;=1,Y21&lt;=6),$B$27*INDEX($B$15:$B$20,Y21),0)</f>
        <v>0</v>
      </c>
      <c r="Z31" s="64" t="n">
        <f aca="false">IF(AND(Z21&gt;=1,Z21&lt;=6),$B$27*INDEX($B$15:$B$20,Z21),0)</f>
        <v>0</v>
      </c>
      <c r="AA31" s="64" t="n">
        <f aca="false">IF(AND(AA21&gt;=1,AA21&lt;=6),$B$27*INDEX($B$15:$B$20,AA21),0)</f>
        <v>0</v>
      </c>
      <c r="AB31" s="64" t="n">
        <f aca="false">IF(AND(AB21&gt;=1,AB21&lt;=6),$B$27*INDEX($B$15:$B$20,AB21),0)</f>
        <v>0</v>
      </c>
      <c r="AC31" s="64" t="n">
        <f aca="false">IF(AND(AC21&gt;=1,AC21&lt;=6),$B$27*INDEX($B$15:$B$20,AC21),0)</f>
        <v>0</v>
      </c>
      <c r="AD31" s="64" t="n">
        <f aca="false">IF(AND(AD21&gt;=1,AD21&lt;=6),$B$27*INDEX($B$15:$B$20,AD21),0)</f>
        <v>0</v>
      </c>
      <c r="AE31" s="64" t="n">
        <f aca="false">IF(AND(AE21&gt;=1,AE21&lt;=6),$B$27*INDEX($B$15:$B$20,AE21),0)</f>
        <v>0</v>
      </c>
      <c r="AF31" s="64" t="n">
        <f aca="false">IF(AND(AF21&gt;=1,AF21&lt;=6),$B$27*INDEX($B$15:$B$20,AF21),0)</f>
        <v>0</v>
      </c>
      <c r="AG31" s="64" t="n">
        <f aca="false">IF(AND(AG21&gt;=1,AG21&lt;=6),$B$27*INDEX($B$15:$B$20,AG21),0)</f>
        <v>0</v>
      </c>
      <c r="AH31" s="64" t="n">
        <f aca="false">IF(AND(AH21&gt;=1,AH21&lt;=6),$B$27*INDEX($B$15:$B$20,AH21),0)</f>
        <v>0</v>
      </c>
      <c r="AI31" s="64" t="n">
        <f aca="false">IF(AND(AI21&gt;=1,AI21&lt;=6),$B$27*INDEX($B$15:$B$20,AI21),0)</f>
        <v>0</v>
      </c>
      <c r="AJ31" s="64" t="n">
        <f aca="false">IF(AND(AJ21&gt;=1,AJ21&lt;=6),$B$27*INDEX($B$15:$B$20,AJ21),0)</f>
        <v>0</v>
      </c>
      <c r="AK31" s="64" t="n">
        <f aca="false">IF(AND(AK21&gt;=1,AK21&lt;=6),$B$27*INDEX($B$15:$B$20,AK21),0)</f>
        <v>0</v>
      </c>
      <c r="AL31" s="64" t="n">
        <f aca="false">IF(AND(AL21&gt;=1,AL21&lt;=6),$B$27*INDEX($B$15:$B$20,AL21),0)</f>
        <v>0</v>
      </c>
      <c r="AM31" s="64" t="n">
        <f aca="false">IF(AND(AM21&gt;=1,AM21&lt;=6),$B$27*INDEX($B$15:$B$20,AM21),0)</f>
        <v>0</v>
      </c>
    </row>
    <row r="33" customFormat="false" ht="15" hidden="false" customHeight="true" outlineLevel="0" collapsed="false">
      <c r="A33" s="57" t="s">
        <v>397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</row>
    <row r="34" customFormat="false" ht="15" hidden="false" customHeight="true" outlineLevel="0" collapsed="false">
      <c r="A34" s="8" t="s">
        <v>398</v>
      </c>
      <c r="C34" s="10" t="s">
        <v>29</v>
      </c>
      <c r="D34" s="59" t="n">
        <f aca="false">SUM(E34:AM34)</f>
        <v>1326000</v>
      </c>
      <c r="E34" s="64" t="n">
        <f aca="false">IF(AND(E21&gt;=1,E21&lt;=$B$12),$B$28/$B$12,0)</f>
        <v>88400</v>
      </c>
      <c r="F34" s="64" t="n">
        <f aca="false">IF(AND(F21&gt;=1,F21&lt;=$B$12),$B$28/$B$12,0)</f>
        <v>88400</v>
      </c>
      <c r="G34" s="64" t="n">
        <f aca="false">IF(AND(G21&gt;=1,G21&lt;=$B$12),$B$28/$B$12,0)</f>
        <v>88400</v>
      </c>
      <c r="H34" s="64" t="n">
        <f aca="false">IF(AND(H21&gt;=1,H21&lt;=$B$12),$B$28/$B$12,0)</f>
        <v>88400</v>
      </c>
      <c r="I34" s="64" t="n">
        <f aca="false">IF(AND(I21&gt;=1,I21&lt;=$B$12),$B$28/$B$12,0)</f>
        <v>88400</v>
      </c>
      <c r="J34" s="64" t="n">
        <f aca="false">IF(AND(J21&gt;=1,J21&lt;=$B$12),$B$28/$B$12,0)</f>
        <v>88400</v>
      </c>
      <c r="K34" s="64" t="n">
        <f aca="false">IF(AND(K21&gt;=1,K21&lt;=$B$12),$B$28/$B$12,0)</f>
        <v>88400</v>
      </c>
      <c r="L34" s="64" t="n">
        <f aca="false">IF(AND(L21&gt;=1,L21&lt;=$B$12),$B$28/$B$12,0)</f>
        <v>88400</v>
      </c>
      <c r="M34" s="64" t="n">
        <f aca="false">IF(AND(M21&gt;=1,M21&lt;=$B$12),$B$28/$B$12,0)</f>
        <v>88400</v>
      </c>
      <c r="N34" s="64" t="n">
        <f aca="false">IF(AND(N21&gt;=1,N21&lt;=$B$12),$B$28/$B$12,0)</f>
        <v>88400</v>
      </c>
      <c r="O34" s="64" t="n">
        <f aca="false">IF(AND(O21&gt;=1,O21&lt;=$B$12),$B$28/$B$12,0)</f>
        <v>88400</v>
      </c>
      <c r="P34" s="64" t="n">
        <f aca="false">IF(AND(P21&gt;=1,P21&lt;=$B$12),$B$28/$B$12,0)</f>
        <v>88400</v>
      </c>
      <c r="Q34" s="64" t="n">
        <f aca="false">IF(AND(Q21&gt;=1,Q21&lt;=$B$12),$B$28/$B$12,0)</f>
        <v>88400</v>
      </c>
      <c r="R34" s="64" t="n">
        <f aca="false">IF(AND(R21&gt;=1,R21&lt;=$B$12),$B$28/$B$12,0)</f>
        <v>88400</v>
      </c>
      <c r="S34" s="64" t="n">
        <f aca="false">IF(AND(S21&gt;=1,S21&lt;=$B$12),$B$28/$B$12,0)</f>
        <v>88400</v>
      </c>
      <c r="T34" s="64" t="n">
        <f aca="false">IF(AND(T21&gt;=1,T21&lt;=$B$12),$B$28/$B$12,0)</f>
        <v>0</v>
      </c>
      <c r="U34" s="64" t="n">
        <f aca="false">IF(AND(U21&gt;=1,U21&lt;=$B$12),$B$28/$B$12,0)</f>
        <v>0</v>
      </c>
      <c r="V34" s="64" t="n">
        <f aca="false">IF(AND(V21&gt;=1,V21&lt;=$B$12),$B$28/$B$12,0)</f>
        <v>0</v>
      </c>
      <c r="W34" s="64" t="n">
        <f aca="false">IF(AND(W21&gt;=1,W21&lt;=$B$12),$B$28/$B$12,0)</f>
        <v>0</v>
      </c>
      <c r="X34" s="64" t="n">
        <f aca="false">IF(AND(X21&gt;=1,X21&lt;=$B$12),$B$28/$B$12,0)</f>
        <v>0</v>
      </c>
      <c r="Y34" s="64" t="n">
        <f aca="false">IF(AND(Y21&gt;=1,Y21&lt;=$B$12),$B$28/$B$12,0)</f>
        <v>0</v>
      </c>
      <c r="Z34" s="64" t="n">
        <f aca="false">IF(AND(Z21&gt;=1,Z21&lt;=$B$12),$B$28/$B$12,0)</f>
        <v>0</v>
      </c>
      <c r="AA34" s="64" t="n">
        <f aca="false">IF(AND(AA21&gt;=1,AA21&lt;=$B$12),$B$28/$B$12,0)</f>
        <v>0</v>
      </c>
      <c r="AB34" s="64" t="n">
        <f aca="false">IF(AND(AB21&gt;=1,AB21&lt;=$B$12),$B$28/$B$12,0)</f>
        <v>0</v>
      </c>
      <c r="AC34" s="64" t="n">
        <f aca="false">IF(AND(AC21&gt;=1,AC21&lt;=$B$12),$B$28/$B$12,0)</f>
        <v>0</v>
      </c>
      <c r="AD34" s="64" t="n">
        <f aca="false">IF(AND(AD21&gt;=1,AD21&lt;=$B$12),$B$28/$B$12,0)</f>
        <v>0</v>
      </c>
      <c r="AE34" s="64" t="n">
        <f aca="false">IF(AND(AE21&gt;=1,AE21&lt;=$B$12),$B$28/$B$12,0)</f>
        <v>0</v>
      </c>
      <c r="AF34" s="64" t="n">
        <f aca="false">IF(AND(AF21&gt;=1,AF21&lt;=$B$12),$B$28/$B$12,0)</f>
        <v>0</v>
      </c>
      <c r="AG34" s="64" t="n">
        <f aca="false">IF(AND(AG21&gt;=1,AG21&lt;=$B$12),$B$28/$B$12,0)</f>
        <v>0</v>
      </c>
      <c r="AH34" s="64" t="n">
        <f aca="false">IF(AND(AH21&gt;=1,AH21&lt;=$B$12),$B$28/$B$12,0)</f>
        <v>0</v>
      </c>
      <c r="AI34" s="64" t="n">
        <f aca="false">IF(AND(AI21&gt;=1,AI21&lt;=$B$12),$B$28/$B$12,0)</f>
        <v>0</v>
      </c>
      <c r="AJ34" s="64" t="n">
        <f aca="false">IF(AND(AJ21&gt;=1,AJ21&lt;=$B$12),$B$28/$B$12,0)</f>
        <v>0</v>
      </c>
      <c r="AK34" s="64" t="n">
        <f aca="false">IF(AND(AK21&gt;=1,AK21&lt;=$B$12),$B$28/$B$12,0)</f>
        <v>0</v>
      </c>
      <c r="AL34" s="64" t="n">
        <f aca="false">IF(AND(AL21&gt;=1,AL21&lt;=$B$12),$B$28/$B$12,0)</f>
        <v>0</v>
      </c>
      <c r="AM34" s="64" t="n">
        <f aca="false">IF(AND(AM21&gt;=1,AM21&lt;=$B$12),$B$28/$B$12,0)</f>
        <v>0</v>
      </c>
    </row>
    <row r="36" customFormat="false" ht="15" hidden="false" customHeight="true" outlineLevel="0" collapsed="false">
      <c r="A36" s="57" t="s">
        <v>399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</row>
    <row r="37" customFormat="false" ht="15" hidden="false" customHeight="true" outlineLevel="0" collapsed="false">
      <c r="A37" s="8" t="s">
        <v>400</v>
      </c>
      <c r="C37" s="10" t="s">
        <v>29</v>
      </c>
      <c r="D37" s="59" t="n">
        <f aca="false">SUM(E37:AM37)</f>
        <v>22740900</v>
      </c>
      <c r="E37" s="44" t="n">
        <f aca="false">E31+E34</f>
        <v>4371380</v>
      </c>
      <c r="F37" s="44" t="n">
        <f aca="false">F31+F34</f>
        <v>6941168</v>
      </c>
      <c r="G37" s="44" t="n">
        <f aca="false">G31+G34</f>
        <v>4200060.8</v>
      </c>
      <c r="H37" s="44" t="n">
        <f aca="false">H31+H34</f>
        <v>2555396.48</v>
      </c>
      <c r="I37" s="44" t="n">
        <f aca="false">I31+I34</f>
        <v>2555396.48</v>
      </c>
      <c r="J37" s="44" t="n">
        <f aca="false">J31+J34</f>
        <v>1321898.24</v>
      </c>
      <c r="K37" s="44" t="n">
        <f aca="false">K31+K34</f>
        <v>88400</v>
      </c>
      <c r="L37" s="44" t="n">
        <f aca="false">L31+L34</f>
        <v>88400</v>
      </c>
      <c r="M37" s="44" t="n">
        <f aca="false">M31+M34</f>
        <v>88400</v>
      </c>
      <c r="N37" s="44" t="n">
        <f aca="false">N31+N34</f>
        <v>88400</v>
      </c>
      <c r="O37" s="44" t="n">
        <f aca="false">O31+O34</f>
        <v>88400</v>
      </c>
      <c r="P37" s="44" t="n">
        <f aca="false">P31+P34</f>
        <v>88400</v>
      </c>
      <c r="Q37" s="44" t="n">
        <f aca="false">Q31+Q34</f>
        <v>88400</v>
      </c>
      <c r="R37" s="44" t="n">
        <f aca="false">R31+R34</f>
        <v>88400</v>
      </c>
      <c r="S37" s="44" t="n">
        <f aca="false">S31+S34</f>
        <v>88400</v>
      </c>
      <c r="T37" s="44" t="n">
        <f aca="false">T31+T34</f>
        <v>0</v>
      </c>
      <c r="U37" s="44" t="n">
        <f aca="false">U31+U34</f>
        <v>0</v>
      </c>
      <c r="V37" s="44" t="n">
        <f aca="false">V31+V34</f>
        <v>0</v>
      </c>
      <c r="W37" s="44" t="n">
        <f aca="false">W31+W34</f>
        <v>0</v>
      </c>
      <c r="X37" s="44" t="n">
        <f aca="false">X31+X34</f>
        <v>0</v>
      </c>
      <c r="Y37" s="44" t="n">
        <f aca="false">Y31+Y34</f>
        <v>0</v>
      </c>
      <c r="Z37" s="44" t="n">
        <f aca="false">Z31+Z34</f>
        <v>0</v>
      </c>
      <c r="AA37" s="44" t="n">
        <f aca="false">AA31+AA34</f>
        <v>0</v>
      </c>
      <c r="AB37" s="44" t="n">
        <f aca="false">AB31+AB34</f>
        <v>0</v>
      </c>
      <c r="AC37" s="44" t="n">
        <f aca="false">AC31+AC34</f>
        <v>0</v>
      </c>
      <c r="AD37" s="44" t="n">
        <f aca="false">AD31+AD34</f>
        <v>0</v>
      </c>
      <c r="AE37" s="44" t="n">
        <f aca="false">AE31+AE34</f>
        <v>0</v>
      </c>
      <c r="AF37" s="44" t="n">
        <f aca="false">AF31+AF34</f>
        <v>0</v>
      </c>
      <c r="AG37" s="44" t="n">
        <f aca="false">AG31+AG34</f>
        <v>0</v>
      </c>
      <c r="AH37" s="44" t="n">
        <f aca="false">AH31+AH34</f>
        <v>0</v>
      </c>
      <c r="AI37" s="44" t="n">
        <f aca="false">AI31+AI34</f>
        <v>0</v>
      </c>
      <c r="AJ37" s="44" t="n">
        <f aca="false">AJ31+AJ34</f>
        <v>0</v>
      </c>
      <c r="AK37" s="44" t="n">
        <f aca="false">AK31+AK34</f>
        <v>0</v>
      </c>
      <c r="AL37" s="44" t="n">
        <f aca="false">AL31+AL34</f>
        <v>0</v>
      </c>
      <c r="AM37" s="44" t="n">
        <f aca="false">AM31+AM34</f>
        <v>0</v>
      </c>
    </row>
    <row r="38" customFormat="false" ht="15" hidden="false" customHeight="true" outlineLevel="0" collapsed="false">
      <c r="A38" s="8" t="s">
        <v>401</v>
      </c>
      <c r="C38" s="10" t="s">
        <v>29</v>
      </c>
      <c r="E38" s="64" t="n">
        <f aca="false">E37</f>
        <v>4371380</v>
      </c>
      <c r="F38" s="64" t="n">
        <f aca="false">E38+F37</f>
        <v>11312548</v>
      </c>
      <c r="G38" s="64" t="n">
        <f aca="false">F38+G37</f>
        <v>15512608.8</v>
      </c>
      <c r="H38" s="64" t="n">
        <f aca="false">G38+H37</f>
        <v>18068005.28</v>
      </c>
      <c r="I38" s="64" t="n">
        <f aca="false">H38+I37</f>
        <v>20623401.76</v>
      </c>
      <c r="J38" s="64" t="n">
        <f aca="false">I38+J37</f>
        <v>21945300</v>
      </c>
      <c r="K38" s="64" t="n">
        <f aca="false">J38+K37</f>
        <v>22033700</v>
      </c>
      <c r="L38" s="64" t="n">
        <f aca="false">K38+L37</f>
        <v>22122100</v>
      </c>
      <c r="M38" s="64" t="n">
        <f aca="false">L38+M37</f>
        <v>22210500</v>
      </c>
      <c r="N38" s="64" t="n">
        <f aca="false">M38+N37</f>
        <v>22298900</v>
      </c>
      <c r="O38" s="64" t="n">
        <f aca="false">N38+O37</f>
        <v>22387300</v>
      </c>
      <c r="P38" s="64" t="n">
        <f aca="false">O38+P37</f>
        <v>22475700</v>
      </c>
      <c r="Q38" s="64" t="n">
        <f aca="false">P38+Q37</f>
        <v>22564100</v>
      </c>
      <c r="R38" s="64" t="n">
        <f aca="false">Q38+R37</f>
        <v>22652500</v>
      </c>
      <c r="S38" s="64" t="n">
        <f aca="false">R38+S37</f>
        <v>22740900</v>
      </c>
      <c r="T38" s="64" t="n">
        <f aca="false">S38+T37</f>
        <v>22740900</v>
      </c>
      <c r="U38" s="64" t="n">
        <f aca="false">T38+U37</f>
        <v>22740900</v>
      </c>
      <c r="V38" s="64" t="n">
        <f aca="false">U38+V37</f>
        <v>22740900</v>
      </c>
      <c r="W38" s="64" t="n">
        <f aca="false">V38+W37</f>
        <v>22740900</v>
      </c>
      <c r="X38" s="64" t="n">
        <f aca="false">W38+X37</f>
        <v>22740900</v>
      </c>
      <c r="Y38" s="64" t="n">
        <f aca="false">X38+Y37</f>
        <v>22740900</v>
      </c>
      <c r="Z38" s="64" t="n">
        <f aca="false">Y38+Z37</f>
        <v>22740900</v>
      </c>
      <c r="AA38" s="64" t="n">
        <f aca="false">Z38+AA37</f>
        <v>22740900</v>
      </c>
      <c r="AB38" s="64" t="n">
        <f aca="false">AA38+AB37</f>
        <v>22740900</v>
      </c>
      <c r="AC38" s="64" t="n">
        <f aca="false">AB38+AC37</f>
        <v>22740900</v>
      </c>
      <c r="AD38" s="64" t="n">
        <f aca="false">AC38+AD37</f>
        <v>22740900</v>
      </c>
      <c r="AE38" s="64" t="n">
        <f aca="false">AD38+AE37</f>
        <v>22740900</v>
      </c>
      <c r="AF38" s="64" t="n">
        <f aca="false">AE38+AF37</f>
        <v>22740900</v>
      </c>
      <c r="AG38" s="64" t="n">
        <f aca="false">AF38+AG37</f>
        <v>22740900</v>
      </c>
      <c r="AH38" s="64" t="n">
        <f aca="false">AG38+AH37</f>
        <v>22740900</v>
      </c>
      <c r="AI38" s="64" t="n">
        <f aca="false">AH38+AI37</f>
        <v>22740900</v>
      </c>
      <c r="AJ38" s="64" t="n">
        <f aca="false">AI38+AJ37</f>
        <v>22740900</v>
      </c>
      <c r="AK38" s="64" t="n">
        <f aca="false">AJ38+AK37</f>
        <v>22740900</v>
      </c>
      <c r="AL38" s="64" t="n">
        <f aca="false">AK38+AL37</f>
        <v>22740900</v>
      </c>
      <c r="AM38" s="64" t="n">
        <f aca="false">AL38+AM37</f>
        <v>22740900</v>
      </c>
    </row>
    <row r="39" customFormat="false" ht="15" hidden="false" customHeight="true" outlineLevel="0" collapsed="false">
      <c r="A39" s="8" t="s">
        <v>402</v>
      </c>
      <c r="C39" s="10" t="s">
        <v>29</v>
      </c>
      <c r="E39" s="64" t="n">
        <f aca="false">$B$27+$B$28-E38</f>
        <v>18369520</v>
      </c>
      <c r="F39" s="64" t="n">
        <f aca="false">$B$27+$B$28-F38</f>
        <v>11428352</v>
      </c>
      <c r="G39" s="64" t="n">
        <f aca="false">$B$27+$B$28-G38</f>
        <v>7228291.2</v>
      </c>
      <c r="H39" s="64" t="n">
        <f aca="false">$B$27+$B$28-H38</f>
        <v>4672894.72</v>
      </c>
      <c r="I39" s="64" t="n">
        <f aca="false">$B$27+$B$28-I38</f>
        <v>2117498.24</v>
      </c>
      <c r="J39" s="64" t="n">
        <f aca="false">$B$27+$B$28-J38</f>
        <v>795600</v>
      </c>
      <c r="K39" s="64" t="n">
        <f aca="false">$B$27+$B$28-K38</f>
        <v>707200</v>
      </c>
      <c r="L39" s="64" t="n">
        <f aca="false">$B$27+$B$28-L38</f>
        <v>618800</v>
      </c>
      <c r="M39" s="64" t="n">
        <f aca="false">$B$27+$B$28-M38</f>
        <v>530400</v>
      </c>
      <c r="N39" s="64" t="n">
        <f aca="false">$B$27+$B$28-N38</f>
        <v>442000</v>
      </c>
      <c r="O39" s="64" t="n">
        <f aca="false">$B$27+$B$28-O38</f>
        <v>353600</v>
      </c>
      <c r="P39" s="64" t="n">
        <f aca="false">$B$27+$B$28-P38</f>
        <v>265200</v>
      </c>
      <c r="Q39" s="64" t="n">
        <f aca="false">$B$27+$B$28-Q38</f>
        <v>176800</v>
      </c>
      <c r="R39" s="64" t="n">
        <f aca="false">$B$27+$B$28-R38</f>
        <v>88400</v>
      </c>
      <c r="S39" s="64" t="n">
        <f aca="false">$B$27+$B$28-S38</f>
        <v>0</v>
      </c>
      <c r="T39" s="64" t="n">
        <f aca="false">$B$27+$B$28-T38</f>
        <v>0</v>
      </c>
      <c r="U39" s="64" t="n">
        <f aca="false">$B$27+$B$28-U38</f>
        <v>0</v>
      </c>
      <c r="V39" s="64" t="n">
        <f aca="false">$B$27+$B$28-V38</f>
        <v>0</v>
      </c>
      <c r="W39" s="64" t="n">
        <f aca="false">$B$27+$B$28-W38</f>
        <v>0</v>
      </c>
      <c r="X39" s="64" t="n">
        <f aca="false">$B$27+$B$28-X38</f>
        <v>0</v>
      </c>
      <c r="Y39" s="64" t="n">
        <f aca="false">$B$27+$B$28-Y38</f>
        <v>0</v>
      </c>
      <c r="Z39" s="64" t="n">
        <f aca="false">$B$27+$B$28-Z38</f>
        <v>0</v>
      </c>
      <c r="AA39" s="64" t="n">
        <f aca="false">$B$27+$B$28-AA38</f>
        <v>0</v>
      </c>
      <c r="AB39" s="64" t="n">
        <f aca="false">$B$27+$B$28-AB38</f>
        <v>0</v>
      </c>
      <c r="AC39" s="64" t="n">
        <f aca="false">$B$27+$B$28-AC38</f>
        <v>0</v>
      </c>
      <c r="AD39" s="64" t="n">
        <f aca="false">$B$27+$B$28-AD38</f>
        <v>0</v>
      </c>
      <c r="AE39" s="64" t="n">
        <f aca="false">$B$27+$B$28-AE38</f>
        <v>0</v>
      </c>
      <c r="AF39" s="64" t="n">
        <f aca="false">$B$27+$B$28-AF38</f>
        <v>0</v>
      </c>
      <c r="AG39" s="64" t="n">
        <f aca="false">$B$27+$B$28-AG38</f>
        <v>0</v>
      </c>
      <c r="AH39" s="64" t="n">
        <f aca="false">$B$27+$B$28-AH38</f>
        <v>0</v>
      </c>
      <c r="AI39" s="64" t="n">
        <f aca="false">$B$27+$B$28-AI38</f>
        <v>0</v>
      </c>
      <c r="AJ39" s="64" t="n">
        <f aca="false">$B$27+$B$28-AJ38</f>
        <v>0</v>
      </c>
      <c r="AK39" s="64" t="n">
        <f aca="false">$B$27+$B$28-AK38</f>
        <v>0</v>
      </c>
      <c r="AL39" s="64" t="n">
        <f aca="false">$B$27+$B$28-AL38</f>
        <v>0</v>
      </c>
      <c r="AM39" s="64" t="n">
        <f aca="false">$B$27+$B$28-AM38</f>
        <v>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5" topLeftCell="E6" activePane="bottomRight" state="frozen"/>
      <selection pane="topLeft" activeCell="A1" activeCellId="0" sqref="A1"/>
      <selection pane="topRight" activeCell="E1" activeCellId="0" sqref="E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42"/>
    <col collapsed="false" customWidth="true" hidden="false" outlineLevel="0" max="2" min="2" style="1" width="14"/>
    <col collapsed="false" customWidth="true" hidden="false" outlineLevel="0" max="3" min="3" style="1" width="12"/>
    <col collapsed="false" customWidth="true" hidden="false" outlineLevel="0" max="4" min="4" style="1" width="14"/>
    <col collapsed="false" customWidth="true" hidden="false" outlineLevel="0" max="39" min="5" style="1" width="12"/>
  </cols>
  <sheetData>
    <row r="1" customFormat="false" ht="15" hidden="false" customHeight="true" outlineLevel="0" collapsed="false">
      <c r="A1" s="52" t="s">
        <v>403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customFormat="false" ht="15" hidden="false" customHeight="true" outlineLevel="0" collapsed="false">
      <c r="A2" s="4" t="s">
        <v>205</v>
      </c>
      <c r="C2" s="8" t="s">
        <v>206</v>
      </c>
      <c r="E2" s="53" t="n">
        <v>46023</v>
      </c>
      <c r="F2" s="53" t="n">
        <v>46388</v>
      </c>
      <c r="G2" s="53" t="n">
        <v>46753</v>
      </c>
      <c r="H2" s="53" t="n">
        <v>47119</v>
      </c>
      <c r="I2" s="53" t="n">
        <v>47484</v>
      </c>
      <c r="J2" s="53" t="n">
        <v>47849</v>
      </c>
      <c r="K2" s="53" t="n">
        <v>48214</v>
      </c>
      <c r="L2" s="53" t="n">
        <v>48580</v>
      </c>
      <c r="M2" s="53" t="n">
        <v>48945</v>
      </c>
      <c r="N2" s="53" t="n">
        <v>49310</v>
      </c>
      <c r="O2" s="53" t="n">
        <v>49675</v>
      </c>
      <c r="P2" s="53" t="n">
        <v>50041</v>
      </c>
      <c r="Q2" s="53" t="n">
        <v>50406</v>
      </c>
      <c r="R2" s="53" t="n">
        <v>50771</v>
      </c>
      <c r="S2" s="53" t="n">
        <v>51136</v>
      </c>
      <c r="T2" s="53" t="n">
        <v>51502</v>
      </c>
      <c r="U2" s="53" t="n">
        <v>51867</v>
      </c>
      <c r="V2" s="53" t="n">
        <v>52232</v>
      </c>
      <c r="W2" s="53" t="n">
        <v>52597</v>
      </c>
      <c r="X2" s="53" t="n">
        <v>52963</v>
      </c>
      <c r="Y2" s="53" t="n">
        <v>53328</v>
      </c>
      <c r="Z2" s="53" t="n">
        <v>53693</v>
      </c>
      <c r="AA2" s="53" t="n">
        <v>54058</v>
      </c>
      <c r="AB2" s="53" t="n">
        <v>54424</v>
      </c>
      <c r="AC2" s="53" t="n">
        <v>54789</v>
      </c>
      <c r="AD2" s="53" t="n">
        <v>55154</v>
      </c>
      <c r="AE2" s="53" t="n">
        <v>55519</v>
      </c>
      <c r="AF2" s="53" t="n">
        <v>55885</v>
      </c>
      <c r="AG2" s="53" t="n">
        <v>56250</v>
      </c>
      <c r="AH2" s="53" t="n">
        <v>56615</v>
      </c>
      <c r="AI2" s="53" t="n">
        <v>56980</v>
      </c>
      <c r="AJ2" s="53" t="n">
        <v>57346</v>
      </c>
      <c r="AK2" s="53" t="n">
        <v>57711</v>
      </c>
      <c r="AL2" s="53" t="n">
        <v>58076</v>
      </c>
      <c r="AM2" s="53" t="n">
        <v>58441</v>
      </c>
    </row>
    <row r="3" customFormat="false" ht="15" hidden="false" customHeight="true" outlineLevel="0" collapsed="false">
      <c r="A3" s="4" t="s">
        <v>207</v>
      </c>
      <c r="C3" s="8" t="s">
        <v>206</v>
      </c>
      <c r="E3" s="53" t="n">
        <v>46387</v>
      </c>
      <c r="F3" s="53" t="n">
        <v>46752</v>
      </c>
      <c r="G3" s="53" t="n">
        <v>47118</v>
      </c>
      <c r="H3" s="53" t="n">
        <v>47483</v>
      </c>
      <c r="I3" s="53" t="n">
        <v>47848</v>
      </c>
      <c r="J3" s="53" t="n">
        <v>48213</v>
      </c>
      <c r="K3" s="53" t="n">
        <v>48579</v>
      </c>
      <c r="L3" s="53" t="n">
        <v>48944</v>
      </c>
      <c r="M3" s="53" t="n">
        <v>49309</v>
      </c>
      <c r="N3" s="53" t="n">
        <v>49674</v>
      </c>
      <c r="O3" s="53" t="n">
        <v>50040</v>
      </c>
      <c r="P3" s="53" t="n">
        <v>50405</v>
      </c>
      <c r="Q3" s="53" t="n">
        <v>50770</v>
      </c>
      <c r="R3" s="53" t="n">
        <v>51135</v>
      </c>
      <c r="S3" s="53" t="n">
        <v>51501</v>
      </c>
      <c r="T3" s="53" t="n">
        <v>51866</v>
      </c>
      <c r="U3" s="53" t="n">
        <v>52231</v>
      </c>
      <c r="V3" s="53" t="n">
        <v>52596</v>
      </c>
      <c r="W3" s="53" t="n">
        <v>52962</v>
      </c>
      <c r="X3" s="53" t="n">
        <v>53327</v>
      </c>
      <c r="Y3" s="53" t="n">
        <v>53692</v>
      </c>
      <c r="Z3" s="53" t="n">
        <v>54057</v>
      </c>
      <c r="AA3" s="53" t="n">
        <v>54423</v>
      </c>
      <c r="AB3" s="53" t="n">
        <v>54788</v>
      </c>
      <c r="AC3" s="53" t="n">
        <v>55153</v>
      </c>
      <c r="AD3" s="53" t="n">
        <v>55518</v>
      </c>
      <c r="AE3" s="53" t="n">
        <v>55884</v>
      </c>
      <c r="AF3" s="53" t="n">
        <v>56249</v>
      </c>
      <c r="AG3" s="53" t="n">
        <v>56614</v>
      </c>
      <c r="AH3" s="53" t="n">
        <v>56979</v>
      </c>
      <c r="AI3" s="53" t="n">
        <v>57345</v>
      </c>
      <c r="AJ3" s="53" t="n">
        <v>57710</v>
      </c>
      <c r="AK3" s="53" t="n">
        <v>58075</v>
      </c>
      <c r="AL3" s="53" t="n">
        <v>58440</v>
      </c>
      <c r="AM3" s="53" t="n">
        <v>58806</v>
      </c>
    </row>
    <row r="4" customFormat="false" ht="15" hidden="false" customHeight="true" outlineLevel="0" collapsed="false">
      <c r="A4" s="4" t="s">
        <v>208</v>
      </c>
      <c r="C4" s="8" t="s">
        <v>209</v>
      </c>
      <c r="E4" s="54" t="n">
        <v>1</v>
      </c>
      <c r="F4" s="54" t="n">
        <v>2</v>
      </c>
      <c r="G4" s="54" t="n">
        <v>3</v>
      </c>
      <c r="H4" s="54" t="n">
        <v>4</v>
      </c>
      <c r="I4" s="54" t="n">
        <v>5</v>
      </c>
      <c r="J4" s="54" t="n">
        <v>6</v>
      </c>
      <c r="K4" s="54" t="n">
        <v>7</v>
      </c>
      <c r="L4" s="54" t="n">
        <v>8</v>
      </c>
      <c r="M4" s="54" t="n">
        <v>9</v>
      </c>
      <c r="N4" s="54" t="n">
        <v>10</v>
      </c>
      <c r="O4" s="54" t="n">
        <v>11</v>
      </c>
      <c r="P4" s="54" t="n">
        <v>12</v>
      </c>
      <c r="Q4" s="54" t="n">
        <v>13</v>
      </c>
      <c r="R4" s="54" t="n">
        <v>14</v>
      </c>
      <c r="S4" s="54" t="n">
        <v>15</v>
      </c>
      <c r="T4" s="54" t="n">
        <v>16</v>
      </c>
      <c r="U4" s="54" t="n">
        <v>17</v>
      </c>
      <c r="V4" s="54" t="n">
        <v>18</v>
      </c>
      <c r="W4" s="54" t="n">
        <v>19</v>
      </c>
      <c r="X4" s="54" t="n">
        <v>20</v>
      </c>
      <c r="Y4" s="54" t="n">
        <v>21</v>
      </c>
      <c r="Z4" s="54" t="n">
        <v>22</v>
      </c>
      <c r="AA4" s="54" t="n">
        <v>23</v>
      </c>
      <c r="AB4" s="54" t="n">
        <v>24</v>
      </c>
      <c r="AC4" s="54" t="n">
        <v>25</v>
      </c>
      <c r="AD4" s="54" t="n">
        <v>26</v>
      </c>
      <c r="AE4" s="54" t="n">
        <v>27</v>
      </c>
      <c r="AF4" s="54" t="n">
        <v>28</v>
      </c>
      <c r="AG4" s="54" t="n">
        <v>29</v>
      </c>
      <c r="AH4" s="54" t="n">
        <v>30</v>
      </c>
      <c r="AI4" s="54" t="n">
        <v>31</v>
      </c>
      <c r="AJ4" s="54" t="n">
        <v>32</v>
      </c>
      <c r="AK4" s="54" t="n">
        <v>33</v>
      </c>
      <c r="AL4" s="54" t="n">
        <v>34</v>
      </c>
      <c r="AM4" s="54" t="n">
        <v>35</v>
      </c>
    </row>
    <row r="5" customFormat="false" ht="15" hidden="false" customHeight="true" outlineLevel="0" collapsed="false">
      <c r="A5" s="55" t="s">
        <v>210</v>
      </c>
      <c r="B5" s="55" t="s">
        <v>90</v>
      </c>
      <c r="C5" s="55" t="s">
        <v>91</v>
      </c>
      <c r="D5" s="55" t="s">
        <v>211</v>
      </c>
      <c r="E5" s="56" t="n">
        <v>2026</v>
      </c>
      <c r="F5" s="56" t="n">
        <v>2027</v>
      </c>
      <c r="G5" s="56" t="n">
        <v>2028</v>
      </c>
      <c r="H5" s="56" t="n">
        <v>2029</v>
      </c>
      <c r="I5" s="56" t="n">
        <v>2030</v>
      </c>
      <c r="J5" s="56" t="n">
        <v>2031</v>
      </c>
      <c r="K5" s="56" t="n">
        <v>2032</v>
      </c>
      <c r="L5" s="56" t="n">
        <v>2033</v>
      </c>
      <c r="M5" s="56" t="n">
        <v>2034</v>
      </c>
      <c r="N5" s="56" t="n">
        <v>2035</v>
      </c>
      <c r="O5" s="56" t="n">
        <v>2036</v>
      </c>
      <c r="P5" s="56" t="n">
        <v>2037</v>
      </c>
      <c r="Q5" s="56" t="n">
        <v>2038</v>
      </c>
      <c r="R5" s="56" t="n">
        <v>2039</v>
      </c>
      <c r="S5" s="56" t="n">
        <v>2040</v>
      </c>
      <c r="T5" s="56" t="n">
        <v>2041</v>
      </c>
      <c r="U5" s="56" t="n">
        <v>2042</v>
      </c>
      <c r="V5" s="56" t="n">
        <v>2043</v>
      </c>
      <c r="W5" s="56" t="n">
        <v>2044</v>
      </c>
      <c r="X5" s="56" t="n">
        <v>2045</v>
      </c>
      <c r="Y5" s="56" t="n">
        <v>2046</v>
      </c>
      <c r="Z5" s="56" t="n">
        <v>2047</v>
      </c>
      <c r="AA5" s="56" t="n">
        <v>2048</v>
      </c>
      <c r="AB5" s="56" t="n">
        <v>2049</v>
      </c>
      <c r="AC5" s="56" t="n">
        <v>2050</v>
      </c>
      <c r="AD5" s="56" t="n">
        <v>2051</v>
      </c>
      <c r="AE5" s="56" t="n">
        <v>2052</v>
      </c>
      <c r="AF5" s="56" t="n">
        <v>2053</v>
      </c>
      <c r="AG5" s="56" t="n">
        <v>2054</v>
      </c>
      <c r="AH5" s="56" t="n">
        <v>2055</v>
      </c>
      <c r="AI5" s="56" t="n">
        <v>2056</v>
      </c>
      <c r="AJ5" s="56" t="n">
        <v>2057</v>
      </c>
      <c r="AK5" s="56" t="n">
        <v>2058</v>
      </c>
      <c r="AL5" s="56" t="n">
        <v>2059</v>
      </c>
      <c r="AM5" s="56" t="n">
        <v>2060</v>
      </c>
    </row>
    <row r="6" customFormat="false" ht="15" hidden="false" customHeight="true" outlineLevel="0" collapsed="false">
      <c r="A6" s="57" t="s">
        <v>404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</row>
    <row r="7" customFormat="false" ht="15" hidden="false" customHeight="true" outlineLevel="0" collapsed="false">
      <c r="A7" s="8" t="s">
        <v>405</v>
      </c>
      <c r="B7" s="12" t="n">
        <f aca="false">InpC!B46</f>
        <v>0.21</v>
      </c>
      <c r="C7" s="10" t="s">
        <v>15</v>
      </c>
    </row>
    <row r="8" customFormat="false" ht="15" hidden="false" customHeight="true" outlineLevel="0" collapsed="false">
      <c r="A8" s="8" t="s">
        <v>406</v>
      </c>
      <c r="B8" s="17" t="n">
        <f aca="false">Acct!B25</f>
        <v>7558200</v>
      </c>
      <c r="C8" s="10" t="s">
        <v>29</v>
      </c>
    </row>
    <row r="9" customFormat="false" ht="15" hidden="false" customHeight="true" outlineLevel="0" collapsed="false">
      <c r="A9" s="8" t="s">
        <v>407</v>
      </c>
      <c r="C9" s="10" t="s">
        <v>29</v>
      </c>
      <c r="D9" s="59" t="n">
        <f aca="false">SUM(E9:AM9)</f>
        <v>100999434.654067</v>
      </c>
      <c r="E9" s="17" t="n">
        <f aca="false">Ops!E38</f>
        <v>3400050</v>
      </c>
      <c r="F9" s="17" t="n">
        <f aca="false">Ops!F38</f>
        <v>3416880.2475</v>
      </c>
      <c r="G9" s="17" t="n">
        <f aca="false">Ops!G38</f>
        <v>3433793.80472513</v>
      </c>
      <c r="H9" s="17" t="n">
        <f aca="false">Ops!H38</f>
        <v>3450791.08405852</v>
      </c>
      <c r="I9" s="17" t="n">
        <f aca="false">Ops!I38</f>
        <v>3467872.4999246</v>
      </c>
      <c r="J9" s="17" t="n">
        <f aca="false">Ops!J38</f>
        <v>3485038.46879923</v>
      </c>
      <c r="K9" s="17" t="n">
        <f aca="false">Ops!K38</f>
        <v>3502289.40921979</v>
      </c>
      <c r="L9" s="17" t="n">
        <f aca="false">Ops!L38</f>
        <v>3519625.74179543</v>
      </c>
      <c r="M9" s="17" t="n">
        <f aca="false">Ops!M38</f>
        <v>3537047.88921731</v>
      </c>
      <c r="N9" s="17" t="n">
        <f aca="false">Ops!N38</f>
        <v>3554556.27626894</v>
      </c>
      <c r="O9" s="17" t="n">
        <f aca="false">Ops!O38</f>
        <v>3572151.32983647</v>
      </c>
      <c r="P9" s="17" t="n">
        <f aca="false">Ops!P38</f>
        <v>3589833.47891916</v>
      </c>
      <c r="Q9" s="17" t="n">
        <f aca="false">Ops!Q38</f>
        <v>3607603.15463981</v>
      </c>
      <c r="R9" s="17" t="n">
        <f aca="false">Ops!R38</f>
        <v>3625460.79025528</v>
      </c>
      <c r="S9" s="17" t="n">
        <f aca="false">Ops!S38</f>
        <v>3643406.82116704</v>
      </c>
      <c r="T9" s="17" t="n">
        <f aca="false">Ops!T38</f>
        <v>3661441.68493182</v>
      </c>
      <c r="U9" s="17" t="n">
        <f aca="false">Ops!U38</f>
        <v>3679565.82127223</v>
      </c>
      <c r="V9" s="17" t="n">
        <f aca="false">Ops!V38</f>
        <v>3697779.67208753</v>
      </c>
      <c r="W9" s="17" t="n">
        <f aca="false">Ops!W38</f>
        <v>3716083.68146436</v>
      </c>
      <c r="X9" s="17" t="n">
        <f aca="false">Ops!X38</f>
        <v>3734478.29568761</v>
      </c>
      <c r="Y9" s="17" t="n">
        <f aca="false">Ops!Y38</f>
        <v>2050480.57563848</v>
      </c>
      <c r="Z9" s="17" t="n">
        <f aca="false">Ops!Z38</f>
        <v>2040228.17276028</v>
      </c>
      <c r="AA9" s="17" t="n">
        <f aca="false">Ops!AA38</f>
        <v>2030027.03189648</v>
      </c>
      <c r="AB9" s="17" t="n">
        <f aca="false">Ops!AB38</f>
        <v>2019876.896737</v>
      </c>
      <c r="AC9" s="17" t="n">
        <f aca="false">Ops!AC38</f>
        <v>2009777.51225331</v>
      </c>
      <c r="AD9" s="17" t="n">
        <f aca="false">Ops!AD38</f>
        <v>1999728.62469205</v>
      </c>
      <c r="AE9" s="17" t="n">
        <f aca="false">Ops!AE38</f>
        <v>1989729.98156859</v>
      </c>
      <c r="AF9" s="17" t="n">
        <f aca="false">Ops!AF38</f>
        <v>1979781.33166074</v>
      </c>
      <c r="AG9" s="17" t="n">
        <f aca="false">Ops!AG38</f>
        <v>1969882.42500244</v>
      </c>
      <c r="AH9" s="17" t="n">
        <f aca="false">Ops!AH38</f>
        <v>1960033.01287743</v>
      </c>
      <c r="AI9" s="17" t="n">
        <f aca="false">Ops!AI38</f>
        <v>1950232.84781304</v>
      </c>
      <c r="AJ9" s="17" t="n">
        <f aca="false">Ops!AJ38</f>
        <v>1940481.68357398</v>
      </c>
      <c r="AK9" s="17" t="n">
        <f aca="false">Ops!AK38</f>
        <v>1930779.27515611</v>
      </c>
      <c r="AL9" s="17" t="n">
        <f aca="false">Ops!AL38</f>
        <v>1921125.37878033</v>
      </c>
      <c r="AM9" s="17" t="n">
        <f aca="false">Ops!AM38</f>
        <v>1911519.75188642</v>
      </c>
    </row>
    <row r="10" customFormat="false" ht="15" hidden="false" customHeight="true" outlineLevel="0" collapsed="false">
      <c r="A10" s="8" t="s">
        <v>408</v>
      </c>
      <c r="C10" s="10" t="s">
        <v>29</v>
      </c>
      <c r="D10" s="59" t="n">
        <f aca="false">SUM(E10:AM10)</f>
        <v>42055703.5985695</v>
      </c>
      <c r="E10" s="17" t="n">
        <f aca="false">OpEx!E41</f>
        <v>858000</v>
      </c>
      <c r="F10" s="17" t="n">
        <f aca="false">OpEx!F41</f>
        <v>873560</v>
      </c>
      <c r="G10" s="17" t="n">
        <f aca="false">OpEx!G41</f>
        <v>889431.2</v>
      </c>
      <c r="H10" s="17" t="n">
        <f aca="false">OpEx!H41</f>
        <v>905619.824</v>
      </c>
      <c r="I10" s="17" t="n">
        <f aca="false">OpEx!I41</f>
        <v>922132.22048</v>
      </c>
      <c r="J10" s="17" t="n">
        <f aca="false">OpEx!J41</f>
        <v>938974.8648896</v>
      </c>
      <c r="K10" s="17" t="n">
        <f aca="false">OpEx!K41</f>
        <v>956154.362187392</v>
      </c>
      <c r="L10" s="17" t="n">
        <f aca="false">OpEx!L41</f>
        <v>973677.44943114</v>
      </c>
      <c r="M10" s="17" t="n">
        <f aca="false">OpEx!M41</f>
        <v>991550.998419763</v>
      </c>
      <c r="N10" s="17" t="n">
        <f aca="false">OpEx!N41</f>
        <v>1165782.01838816</v>
      </c>
      <c r="O10" s="17" t="n">
        <f aca="false">OpEx!O41</f>
        <v>1184377.65875592</v>
      </c>
      <c r="P10" s="17" t="n">
        <f aca="false">OpEx!P41</f>
        <v>1203345.21193104</v>
      </c>
      <c r="Q10" s="17" t="n">
        <f aca="false">OpEx!Q41</f>
        <v>1222692.11616966</v>
      </c>
      <c r="R10" s="17" t="n">
        <f aca="false">OpEx!R41</f>
        <v>1242425.95849305</v>
      </c>
      <c r="S10" s="17" t="n">
        <f aca="false">OpEx!S41</f>
        <v>1262554.47766291</v>
      </c>
      <c r="T10" s="17" t="n">
        <f aca="false">OpEx!T41</f>
        <v>1283085.56721617</v>
      </c>
      <c r="U10" s="17" t="n">
        <f aca="false">OpEx!U41</f>
        <v>1304027.2785605</v>
      </c>
      <c r="V10" s="17" t="n">
        <f aca="false">OpEx!V41</f>
        <v>1325387.82413171</v>
      </c>
      <c r="W10" s="17" t="n">
        <f aca="false">OpEx!W41</f>
        <v>1347175.58061434</v>
      </c>
      <c r="X10" s="17" t="n">
        <f aca="false">OpEx!X41</f>
        <v>1213399.09222663</v>
      </c>
      <c r="Y10" s="17" t="n">
        <f aca="false">OpEx!Y41</f>
        <v>1156067.07407116</v>
      </c>
      <c r="Z10" s="17" t="n">
        <f aca="false">OpEx!Z41</f>
        <v>1179188.41555258</v>
      </c>
      <c r="AA10" s="17" t="n">
        <f aca="false">OpEx!AA41</f>
        <v>1202772.18386364</v>
      </c>
      <c r="AB10" s="17" t="n">
        <f aca="false">OpEx!AB41</f>
        <v>1226827.62754091</v>
      </c>
      <c r="AC10" s="17" t="n">
        <f aca="false">OpEx!AC41</f>
        <v>1251364.18009173</v>
      </c>
      <c r="AD10" s="17" t="n">
        <f aca="false">OpEx!AD41</f>
        <v>1276391.46369356</v>
      </c>
      <c r="AE10" s="17" t="n">
        <f aca="false">OpEx!AE41</f>
        <v>1301919.29296743</v>
      </c>
      <c r="AF10" s="17" t="n">
        <f aca="false">OpEx!AF41</f>
        <v>1327957.67882678</v>
      </c>
      <c r="AG10" s="17" t="n">
        <f aca="false">OpEx!AG41</f>
        <v>1354516.83240332</v>
      </c>
      <c r="AH10" s="17" t="n">
        <f aca="false">OpEx!AH41</f>
        <v>1381607.16905138</v>
      </c>
      <c r="AI10" s="17" t="n">
        <f aca="false">OpEx!AI41</f>
        <v>1409239.31243241</v>
      </c>
      <c r="AJ10" s="17" t="n">
        <f aca="false">OpEx!AJ41</f>
        <v>1437424.09868106</v>
      </c>
      <c r="AK10" s="17" t="n">
        <f aca="false">OpEx!AK41</f>
        <v>1466172.58065468</v>
      </c>
      <c r="AL10" s="17" t="n">
        <f aca="false">OpEx!AL41</f>
        <v>1495496.03226777</v>
      </c>
      <c r="AM10" s="17" t="n">
        <f aca="false">OpEx!AM41</f>
        <v>1525405.95291313</v>
      </c>
    </row>
    <row r="11" customFormat="false" ht="15" hidden="false" customHeight="true" outlineLevel="0" collapsed="false">
      <c r="A11" s="8" t="s">
        <v>409</v>
      </c>
      <c r="C11" s="10" t="s">
        <v>29</v>
      </c>
      <c r="D11" s="59" t="n">
        <f aca="false">SUM(E11:AM11)</f>
        <v>22740900</v>
      </c>
      <c r="E11" s="17" t="n">
        <f aca="false">Acct!E37</f>
        <v>4371380</v>
      </c>
      <c r="F11" s="17" t="n">
        <f aca="false">Acct!F37</f>
        <v>6941168</v>
      </c>
      <c r="G11" s="17" t="n">
        <f aca="false">Acct!G37</f>
        <v>4200060.8</v>
      </c>
      <c r="H11" s="17" t="n">
        <f aca="false">Acct!H37</f>
        <v>2555396.48</v>
      </c>
      <c r="I11" s="17" t="n">
        <f aca="false">Acct!I37</f>
        <v>2555396.48</v>
      </c>
      <c r="J11" s="17" t="n">
        <f aca="false">Acct!J37</f>
        <v>1321898.24</v>
      </c>
      <c r="K11" s="17" t="n">
        <f aca="false">Acct!K37</f>
        <v>88400</v>
      </c>
      <c r="L11" s="17" t="n">
        <f aca="false">Acct!L37</f>
        <v>88400</v>
      </c>
      <c r="M11" s="17" t="n">
        <f aca="false">Acct!M37</f>
        <v>88400</v>
      </c>
      <c r="N11" s="17" t="n">
        <f aca="false">Acct!N37</f>
        <v>88400</v>
      </c>
      <c r="O11" s="17" t="n">
        <f aca="false">Acct!O37</f>
        <v>88400</v>
      </c>
      <c r="P11" s="17" t="n">
        <f aca="false">Acct!P37</f>
        <v>88400</v>
      </c>
      <c r="Q11" s="17" t="n">
        <f aca="false">Acct!Q37</f>
        <v>88400</v>
      </c>
      <c r="R11" s="17" t="n">
        <f aca="false">Acct!R37</f>
        <v>88400</v>
      </c>
      <c r="S11" s="17" t="n">
        <f aca="false">Acct!S37</f>
        <v>88400</v>
      </c>
      <c r="T11" s="17" t="n">
        <f aca="false">Acct!T37</f>
        <v>0</v>
      </c>
      <c r="U11" s="17" t="n">
        <f aca="false">Acct!U37</f>
        <v>0</v>
      </c>
      <c r="V11" s="17" t="n">
        <f aca="false">Acct!V37</f>
        <v>0</v>
      </c>
      <c r="W11" s="17" t="n">
        <f aca="false">Acct!W37</f>
        <v>0</v>
      </c>
      <c r="X11" s="17" t="n">
        <f aca="false">Acct!X37</f>
        <v>0</v>
      </c>
      <c r="Y11" s="17" t="n">
        <f aca="false">Acct!Y37</f>
        <v>0</v>
      </c>
      <c r="Z11" s="17" t="n">
        <f aca="false">Acct!Z37</f>
        <v>0</v>
      </c>
      <c r="AA11" s="17" t="n">
        <f aca="false">Acct!AA37</f>
        <v>0</v>
      </c>
      <c r="AB11" s="17" t="n">
        <f aca="false">Acct!AB37</f>
        <v>0</v>
      </c>
      <c r="AC11" s="17" t="n">
        <f aca="false">Acct!AC37</f>
        <v>0</v>
      </c>
      <c r="AD11" s="17" t="n">
        <f aca="false">Acct!AD37</f>
        <v>0</v>
      </c>
      <c r="AE11" s="17" t="n">
        <f aca="false">Acct!AE37</f>
        <v>0</v>
      </c>
      <c r="AF11" s="17" t="n">
        <f aca="false">Acct!AF37</f>
        <v>0</v>
      </c>
      <c r="AG11" s="17" t="n">
        <f aca="false">Acct!AG37</f>
        <v>0</v>
      </c>
      <c r="AH11" s="17" t="n">
        <f aca="false">Acct!AH37</f>
        <v>0</v>
      </c>
      <c r="AI11" s="17" t="n">
        <f aca="false">Acct!AI37</f>
        <v>0</v>
      </c>
      <c r="AJ11" s="17" t="n">
        <f aca="false">Acct!AJ37</f>
        <v>0</v>
      </c>
      <c r="AK11" s="17" t="n">
        <f aca="false">Acct!AK37</f>
        <v>0</v>
      </c>
      <c r="AL11" s="17" t="n">
        <f aca="false">Acct!AL37</f>
        <v>0</v>
      </c>
      <c r="AM11" s="17" t="n">
        <f aca="false">Acct!AM37</f>
        <v>0</v>
      </c>
    </row>
    <row r="12" customFormat="false" ht="15" hidden="false" customHeight="true" outlineLevel="0" collapsed="false">
      <c r="A12" s="8" t="s">
        <v>329</v>
      </c>
      <c r="C12" s="10" t="s">
        <v>219</v>
      </c>
      <c r="E12" s="63" t="n">
        <f aca="false">Time!E13</f>
        <v>1</v>
      </c>
      <c r="F12" s="63" t="n">
        <f aca="false">Time!F13</f>
        <v>1</v>
      </c>
      <c r="G12" s="63" t="n">
        <f aca="false">Time!G13</f>
        <v>1</v>
      </c>
      <c r="H12" s="63" t="n">
        <f aca="false">Time!H13</f>
        <v>1</v>
      </c>
      <c r="I12" s="63" t="n">
        <f aca="false">Time!I13</f>
        <v>1</v>
      </c>
      <c r="J12" s="63" t="n">
        <f aca="false">Time!J13</f>
        <v>1</v>
      </c>
      <c r="K12" s="63" t="n">
        <f aca="false">Time!K13</f>
        <v>1</v>
      </c>
      <c r="L12" s="63" t="n">
        <f aca="false">Time!L13</f>
        <v>1</v>
      </c>
      <c r="M12" s="63" t="n">
        <f aca="false">Time!M13</f>
        <v>1</v>
      </c>
      <c r="N12" s="63" t="n">
        <f aca="false">Time!N13</f>
        <v>1</v>
      </c>
      <c r="O12" s="63" t="n">
        <f aca="false">Time!O13</f>
        <v>1</v>
      </c>
      <c r="P12" s="63" t="n">
        <f aca="false">Time!P13</f>
        <v>1</v>
      </c>
      <c r="Q12" s="63" t="n">
        <f aca="false">Time!Q13</f>
        <v>1</v>
      </c>
      <c r="R12" s="63" t="n">
        <f aca="false">Time!R13</f>
        <v>1</v>
      </c>
      <c r="S12" s="63" t="n">
        <f aca="false">Time!S13</f>
        <v>1</v>
      </c>
      <c r="T12" s="63" t="n">
        <f aca="false">Time!T13</f>
        <v>1</v>
      </c>
      <c r="U12" s="63" t="n">
        <f aca="false">Time!U13</f>
        <v>1</v>
      </c>
      <c r="V12" s="63" t="n">
        <f aca="false">Time!V13</f>
        <v>1</v>
      </c>
      <c r="W12" s="63" t="n">
        <f aca="false">Time!W13</f>
        <v>1</v>
      </c>
      <c r="X12" s="63" t="n">
        <f aca="false">Time!X13</f>
        <v>1</v>
      </c>
      <c r="Y12" s="63" t="n">
        <f aca="false">Time!Y13</f>
        <v>1</v>
      </c>
      <c r="Z12" s="63" t="n">
        <f aca="false">Time!Z13</f>
        <v>1</v>
      </c>
      <c r="AA12" s="63" t="n">
        <f aca="false">Time!AA13</f>
        <v>1</v>
      </c>
      <c r="AB12" s="63" t="n">
        <f aca="false">Time!AB13</f>
        <v>1</v>
      </c>
      <c r="AC12" s="63" t="n">
        <f aca="false">Time!AC13</f>
        <v>1</v>
      </c>
      <c r="AD12" s="63" t="n">
        <f aca="false">Time!AD13</f>
        <v>1</v>
      </c>
      <c r="AE12" s="63" t="n">
        <f aca="false">Time!AE13</f>
        <v>1</v>
      </c>
      <c r="AF12" s="63" t="n">
        <f aca="false">Time!AF13</f>
        <v>1</v>
      </c>
      <c r="AG12" s="63" t="n">
        <f aca="false">Time!AG13</f>
        <v>1</v>
      </c>
      <c r="AH12" s="63" t="n">
        <f aca="false">Time!AH13</f>
        <v>1</v>
      </c>
      <c r="AI12" s="63" t="n">
        <f aca="false">Time!AI13</f>
        <v>1</v>
      </c>
      <c r="AJ12" s="63" t="n">
        <f aca="false">Time!AJ13</f>
        <v>1</v>
      </c>
      <c r="AK12" s="63" t="n">
        <f aca="false">Time!AK13</f>
        <v>1</v>
      </c>
      <c r="AL12" s="63" t="n">
        <f aca="false">Time!AL13</f>
        <v>1</v>
      </c>
      <c r="AM12" s="63" t="n">
        <f aca="false">Time!AM13</f>
        <v>1</v>
      </c>
    </row>
    <row r="13" customFormat="false" ht="15" hidden="false" customHeight="true" outlineLevel="0" collapsed="false">
      <c r="A13" s="8" t="s">
        <v>328</v>
      </c>
      <c r="C13" s="10" t="s">
        <v>42</v>
      </c>
      <c r="E13" s="9" t="n">
        <f aca="false">Time!E12</f>
        <v>1</v>
      </c>
      <c r="F13" s="9" t="n">
        <f aca="false">Time!F12</f>
        <v>2</v>
      </c>
      <c r="G13" s="9" t="n">
        <f aca="false">Time!G12</f>
        <v>3</v>
      </c>
      <c r="H13" s="9" t="n">
        <f aca="false">Time!H12</f>
        <v>4</v>
      </c>
      <c r="I13" s="9" t="n">
        <f aca="false">Time!I12</f>
        <v>5</v>
      </c>
      <c r="J13" s="9" t="n">
        <f aca="false">Time!J12</f>
        <v>6</v>
      </c>
      <c r="K13" s="9" t="n">
        <f aca="false">Time!K12</f>
        <v>7</v>
      </c>
      <c r="L13" s="9" t="n">
        <f aca="false">Time!L12</f>
        <v>8</v>
      </c>
      <c r="M13" s="9" t="n">
        <f aca="false">Time!M12</f>
        <v>9</v>
      </c>
      <c r="N13" s="9" t="n">
        <f aca="false">Time!N12</f>
        <v>10</v>
      </c>
      <c r="O13" s="9" t="n">
        <f aca="false">Time!O12</f>
        <v>11</v>
      </c>
      <c r="P13" s="9" t="n">
        <f aca="false">Time!P12</f>
        <v>12</v>
      </c>
      <c r="Q13" s="9" t="n">
        <f aca="false">Time!Q12</f>
        <v>13</v>
      </c>
      <c r="R13" s="9" t="n">
        <f aca="false">Time!R12</f>
        <v>14</v>
      </c>
      <c r="S13" s="9" t="n">
        <f aca="false">Time!S12</f>
        <v>15</v>
      </c>
      <c r="T13" s="9" t="n">
        <f aca="false">Time!T12</f>
        <v>16</v>
      </c>
      <c r="U13" s="9" t="n">
        <f aca="false">Time!U12</f>
        <v>17</v>
      </c>
      <c r="V13" s="9" t="n">
        <f aca="false">Time!V12</f>
        <v>18</v>
      </c>
      <c r="W13" s="9" t="n">
        <f aca="false">Time!W12</f>
        <v>19</v>
      </c>
      <c r="X13" s="9" t="n">
        <f aca="false">Time!X12</f>
        <v>20</v>
      </c>
      <c r="Y13" s="9" t="n">
        <f aca="false">Time!Y12</f>
        <v>21</v>
      </c>
      <c r="Z13" s="9" t="n">
        <f aca="false">Time!Z12</f>
        <v>22</v>
      </c>
      <c r="AA13" s="9" t="n">
        <f aca="false">Time!AA12</f>
        <v>23</v>
      </c>
      <c r="AB13" s="9" t="n">
        <f aca="false">Time!AB12</f>
        <v>24</v>
      </c>
      <c r="AC13" s="9" t="n">
        <f aca="false">Time!AC12</f>
        <v>25</v>
      </c>
      <c r="AD13" s="9" t="n">
        <f aca="false">Time!AD12</f>
        <v>26</v>
      </c>
      <c r="AE13" s="9" t="n">
        <f aca="false">Time!AE12</f>
        <v>27</v>
      </c>
      <c r="AF13" s="9" t="n">
        <f aca="false">Time!AF12</f>
        <v>28</v>
      </c>
      <c r="AG13" s="9" t="n">
        <f aca="false">Time!AG12</f>
        <v>29</v>
      </c>
      <c r="AH13" s="9" t="n">
        <f aca="false">Time!AH12</f>
        <v>30</v>
      </c>
      <c r="AI13" s="9" t="n">
        <f aca="false">Time!AI12</f>
        <v>31</v>
      </c>
      <c r="AJ13" s="9" t="n">
        <f aca="false">Time!AJ12</f>
        <v>32</v>
      </c>
      <c r="AK13" s="9" t="n">
        <f aca="false">Time!AK12</f>
        <v>33</v>
      </c>
      <c r="AL13" s="9" t="n">
        <f aca="false">Time!AL12</f>
        <v>34</v>
      </c>
      <c r="AM13" s="9" t="n">
        <f aca="false">Time!AM12</f>
        <v>35</v>
      </c>
    </row>
    <row r="15" customFormat="false" ht="15" hidden="false" customHeight="true" outlineLevel="0" collapsed="false">
      <c r="A15" s="57" t="s">
        <v>410</v>
      </c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</row>
    <row r="16" customFormat="false" ht="15" hidden="false" customHeight="true" outlineLevel="0" collapsed="false">
      <c r="A16" s="8" t="s">
        <v>411</v>
      </c>
      <c r="C16" s="10" t="s">
        <v>29</v>
      </c>
      <c r="D16" s="59" t="n">
        <f aca="false">SUM(E16:AM16)</f>
        <v>58943731.0554974</v>
      </c>
      <c r="E16" s="64" t="n">
        <f aca="false">E9-E10</f>
        <v>2542050</v>
      </c>
      <c r="F16" s="64" t="n">
        <f aca="false">F9-F10</f>
        <v>2543320.2475</v>
      </c>
      <c r="G16" s="64" t="n">
        <f aca="false">G9-G10</f>
        <v>2544362.60472513</v>
      </c>
      <c r="H16" s="64" t="n">
        <f aca="false">H9-H10</f>
        <v>2545171.26005852</v>
      </c>
      <c r="I16" s="64" t="n">
        <f aca="false">I9-I10</f>
        <v>2545740.2794446</v>
      </c>
      <c r="J16" s="64" t="n">
        <f aca="false">J9-J10</f>
        <v>2546063.60390963</v>
      </c>
      <c r="K16" s="64" t="n">
        <f aca="false">K9-K10</f>
        <v>2546135.0470324</v>
      </c>
      <c r="L16" s="64" t="n">
        <f aca="false">L9-L10</f>
        <v>2545948.29236429</v>
      </c>
      <c r="M16" s="64" t="n">
        <f aca="false">M9-M10</f>
        <v>2545496.89079755</v>
      </c>
      <c r="N16" s="64" t="n">
        <f aca="false">N9-N10</f>
        <v>2388774.25788078</v>
      </c>
      <c r="O16" s="64" t="n">
        <f aca="false">O9-O10</f>
        <v>2387773.67108055</v>
      </c>
      <c r="P16" s="64" t="n">
        <f aca="false">P9-P10</f>
        <v>2386488.26698812</v>
      </c>
      <c r="Q16" s="64" t="n">
        <f aca="false">Q9-Q10</f>
        <v>2384911.03847015</v>
      </c>
      <c r="R16" s="64" t="n">
        <f aca="false">R9-R10</f>
        <v>2383034.83176222</v>
      </c>
      <c r="S16" s="64" t="n">
        <f aca="false">S9-S10</f>
        <v>2380852.34350413</v>
      </c>
      <c r="T16" s="64" t="n">
        <f aca="false">T9-T10</f>
        <v>2378356.11771564</v>
      </c>
      <c r="U16" s="64" t="n">
        <f aca="false">U9-U10</f>
        <v>2375538.54271173</v>
      </c>
      <c r="V16" s="64" t="n">
        <f aca="false">V9-V10</f>
        <v>2372391.84795582</v>
      </c>
      <c r="W16" s="64" t="n">
        <f aca="false">W9-W10</f>
        <v>2368908.10085002</v>
      </c>
      <c r="X16" s="64" t="n">
        <f aca="false">X9-X10</f>
        <v>2521079.20346098</v>
      </c>
      <c r="Y16" s="64" t="n">
        <f aca="false">Y9-Y10</f>
        <v>894413.501567316</v>
      </c>
      <c r="Z16" s="64" t="n">
        <f aca="false">Z9-Z10</f>
        <v>861039.7572077</v>
      </c>
      <c r="AA16" s="64" t="n">
        <f aca="false">AA9-AA10</f>
        <v>827254.848032847</v>
      </c>
      <c r="AB16" s="64" t="n">
        <f aca="false">AB9-AB10</f>
        <v>793049.269196092</v>
      </c>
      <c r="AC16" s="64" t="n">
        <f aca="false">AC9-AC10</f>
        <v>758413.332161588</v>
      </c>
      <c r="AD16" s="64" t="n">
        <f aca="false">AD9-AD10</f>
        <v>723337.160998487</v>
      </c>
      <c r="AE16" s="64" t="n">
        <f aca="false">AE9-AE10</f>
        <v>687810.688601156</v>
      </c>
      <c r="AF16" s="64" t="n">
        <f aca="false">AF9-AF10</f>
        <v>651823.652833964</v>
      </c>
      <c r="AG16" s="64" t="n">
        <f aca="false">AG9-AG10</f>
        <v>615365.592599125</v>
      </c>
      <c r="AH16" s="64" t="n">
        <f aca="false">AH9-AH10</f>
        <v>578425.843826046</v>
      </c>
      <c r="AI16" s="64" t="n">
        <f aca="false">AI9-AI10</f>
        <v>540993.535380632</v>
      </c>
      <c r="AJ16" s="64" t="n">
        <f aca="false">AJ9-AJ10</f>
        <v>503057.584892918</v>
      </c>
      <c r="AK16" s="64" t="n">
        <f aca="false">AK9-AK10</f>
        <v>464606.694501427</v>
      </c>
      <c r="AL16" s="64" t="n">
        <f aca="false">AL9-AL10</f>
        <v>425629.346512553</v>
      </c>
      <c r="AM16" s="64" t="n">
        <f aca="false">AM9-AM10</f>
        <v>386113.798973296</v>
      </c>
    </row>
    <row r="17" customFormat="false" ht="15" hidden="false" customHeight="true" outlineLevel="0" collapsed="false">
      <c r="A17" s="8" t="s">
        <v>412</v>
      </c>
      <c r="C17" s="10" t="s">
        <v>29</v>
      </c>
      <c r="D17" s="59" t="n">
        <f aca="false">SUM(E17:AM17)</f>
        <v>36202831.0554974</v>
      </c>
      <c r="E17" s="64" t="n">
        <f aca="false">E16-E11</f>
        <v>-1829330</v>
      </c>
      <c r="F17" s="64" t="n">
        <f aca="false">F16-F11</f>
        <v>-4397847.7525</v>
      </c>
      <c r="G17" s="64" t="n">
        <f aca="false">G16-G11</f>
        <v>-1655698.19527488</v>
      </c>
      <c r="H17" s="64" t="n">
        <f aca="false">H16-H11</f>
        <v>-10225.2199414852</v>
      </c>
      <c r="I17" s="64" t="n">
        <f aca="false">I16-I11</f>
        <v>-9656.2005553958</v>
      </c>
      <c r="J17" s="64" t="n">
        <f aca="false">J16-J11</f>
        <v>1224165.36390963</v>
      </c>
      <c r="K17" s="64" t="n">
        <f aca="false">K16-K11</f>
        <v>2457735.0470324</v>
      </c>
      <c r="L17" s="64" t="n">
        <f aca="false">L16-L11</f>
        <v>2457548.29236429</v>
      </c>
      <c r="M17" s="64" t="n">
        <f aca="false">M16-M11</f>
        <v>2457096.89079755</v>
      </c>
      <c r="N17" s="64" t="n">
        <f aca="false">N16-N11</f>
        <v>2300374.25788078</v>
      </c>
      <c r="O17" s="64" t="n">
        <f aca="false">O16-O11</f>
        <v>2299373.67108055</v>
      </c>
      <c r="P17" s="64" t="n">
        <f aca="false">P16-P11</f>
        <v>2298088.26698812</v>
      </c>
      <c r="Q17" s="64" t="n">
        <f aca="false">Q16-Q11</f>
        <v>2296511.03847015</v>
      </c>
      <c r="R17" s="64" t="n">
        <f aca="false">R16-R11</f>
        <v>2294634.83176222</v>
      </c>
      <c r="S17" s="64" t="n">
        <f aca="false">S16-S11</f>
        <v>2292452.34350413</v>
      </c>
      <c r="T17" s="64" t="n">
        <f aca="false">T16-T11</f>
        <v>2378356.11771564</v>
      </c>
      <c r="U17" s="64" t="n">
        <f aca="false">U16-U11</f>
        <v>2375538.54271173</v>
      </c>
      <c r="V17" s="64" t="n">
        <f aca="false">V16-V11</f>
        <v>2372391.84795582</v>
      </c>
      <c r="W17" s="64" t="n">
        <f aca="false">W16-W11</f>
        <v>2368908.10085002</v>
      </c>
      <c r="X17" s="64" t="n">
        <f aca="false">X16-X11</f>
        <v>2521079.20346098</v>
      </c>
      <c r="Y17" s="64" t="n">
        <f aca="false">Y16-Y11</f>
        <v>894413.501567316</v>
      </c>
      <c r="Z17" s="64" t="n">
        <f aca="false">Z16-Z11</f>
        <v>861039.7572077</v>
      </c>
      <c r="AA17" s="64" t="n">
        <f aca="false">AA16-AA11</f>
        <v>827254.848032847</v>
      </c>
      <c r="AB17" s="64" t="n">
        <f aca="false">AB16-AB11</f>
        <v>793049.269196092</v>
      </c>
      <c r="AC17" s="64" t="n">
        <f aca="false">AC16-AC11</f>
        <v>758413.332161588</v>
      </c>
      <c r="AD17" s="64" t="n">
        <f aca="false">AD16-AD11</f>
        <v>723337.160998487</v>
      </c>
      <c r="AE17" s="64" t="n">
        <f aca="false">AE16-AE11</f>
        <v>687810.688601156</v>
      </c>
      <c r="AF17" s="64" t="n">
        <f aca="false">AF16-AF11</f>
        <v>651823.652833964</v>
      </c>
      <c r="AG17" s="64" t="n">
        <f aca="false">AG16-AG11</f>
        <v>615365.592599125</v>
      </c>
      <c r="AH17" s="64" t="n">
        <f aca="false">AH16-AH11</f>
        <v>578425.843826046</v>
      </c>
      <c r="AI17" s="64" t="n">
        <f aca="false">AI16-AI11</f>
        <v>540993.535380632</v>
      </c>
      <c r="AJ17" s="64" t="n">
        <f aca="false">AJ16-AJ11</f>
        <v>503057.584892918</v>
      </c>
      <c r="AK17" s="64" t="n">
        <f aca="false">AK16-AK11</f>
        <v>464606.694501427</v>
      </c>
      <c r="AL17" s="64" t="n">
        <f aca="false">AL16-AL11</f>
        <v>425629.346512553</v>
      </c>
      <c r="AM17" s="64" t="n">
        <f aca="false">AM16-AM11</f>
        <v>386113.798973296</v>
      </c>
    </row>
    <row r="18" customFormat="false" ht="15" hidden="false" customHeight="true" outlineLevel="0" collapsed="false">
      <c r="A18" s="8" t="s">
        <v>413</v>
      </c>
      <c r="C18" s="10" t="s">
        <v>29</v>
      </c>
      <c r="D18" s="59" t="n">
        <f aca="false">SUM(E18:AM18)</f>
        <v>36202831.0554974</v>
      </c>
      <c r="E18" s="64" t="n">
        <f aca="false">E17</f>
        <v>-1829330</v>
      </c>
      <c r="F18" s="64" t="n">
        <f aca="false">F17</f>
        <v>-4397847.7525</v>
      </c>
      <c r="G18" s="64" t="n">
        <f aca="false">G17</f>
        <v>-1655698.19527488</v>
      </c>
      <c r="H18" s="64" t="n">
        <f aca="false">H17</f>
        <v>-10225.2199414852</v>
      </c>
      <c r="I18" s="64" t="n">
        <f aca="false">I17</f>
        <v>-9656.2005553958</v>
      </c>
      <c r="J18" s="64" t="n">
        <f aca="false">J17</f>
        <v>1224165.36390963</v>
      </c>
      <c r="K18" s="64" t="n">
        <f aca="false">K17</f>
        <v>2457735.0470324</v>
      </c>
      <c r="L18" s="64" t="n">
        <f aca="false">L17</f>
        <v>2457548.29236429</v>
      </c>
      <c r="M18" s="64" t="n">
        <f aca="false">M17</f>
        <v>2457096.89079755</v>
      </c>
      <c r="N18" s="64" t="n">
        <f aca="false">N17</f>
        <v>2300374.25788078</v>
      </c>
      <c r="O18" s="64" t="n">
        <f aca="false">O17</f>
        <v>2299373.67108055</v>
      </c>
      <c r="P18" s="64" t="n">
        <f aca="false">P17</f>
        <v>2298088.26698812</v>
      </c>
      <c r="Q18" s="64" t="n">
        <f aca="false">Q17</f>
        <v>2296511.03847015</v>
      </c>
      <c r="R18" s="64" t="n">
        <f aca="false">R17</f>
        <v>2294634.83176222</v>
      </c>
      <c r="S18" s="64" t="n">
        <f aca="false">S17</f>
        <v>2292452.34350413</v>
      </c>
      <c r="T18" s="64" t="n">
        <f aca="false">T17</f>
        <v>2378356.11771564</v>
      </c>
      <c r="U18" s="64" t="n">
        <f aca="false">U17</f>
        <v>2375538.54271173</v>
      </c>
      <c r="V18" s="64" t="n">
        <f aca="false">V17</f>
        <v>2372391.84795582</v>
      </c>
      <c r="W18" s="64" t="n">
        <f aca="false">W17</f>
        <v>2368908.10085002</v>
      </c>
      <c r="X18" s="64" t="n">
        <f aca="false">X17</f>
        <v>2521079.20346098</v>
      </c>
      <c r="Y18" s="64" t="n">
        <f aca="false">Y17</f>
        <v>894413.501567316</v>
      </c>
      <c r="Z18" s="64" t="n">
        <f aca="false">Z17</f>
        <v>861039.7572077</v>
      </c>
      <c r="AA18" s="64" t="n">
        <f aca="false">AA17</f>
        <v>827254.848032847</v>
      </c>
      <c r="AB18" s="64" t="n">
        <f aca="false">AB17</f>
        <v>793049.269196092</v>
      </c>
      <c r="AC18" s="64" t="n">
        <f aca="false">AC17</f>
        <v>758413.332161588</v>
      </c>
      <c r="AD18" s="64" t="n">
        <f aca="false">AD17</f>
        <v>723337.160998487</v>
      </c>
      <c r="AE18" s="64" t="n">
        <f aca="false">AE17</f>
        <v>687810.688601156</v>
      </c>
      <c r="AF18" s="64" t="n">
        <f aca="false">AF17</f>
        <v>651823.652833964</v>
      </c>
      <c r="AG18" s="64" t="n">
        <f aca="false">AG17</f>
        <v>615365.592599125</v>
      </c>
      <c r="AH18" s="64" t="n">
        <f aca="false">AH17</f>
        <v>578425.843826046</v>
      </c>
      <c r="AI18" s="64" t="n">
        <f aca="false">AI17</f>
        <v>540993.535380632</v>
      </c>
      <c r="AJ18" s="64" t="n">
        <f aca="false">AJ17</f>
        <v>503057.584892918</v>
      </c>
      <c r="AK18" s="64" t="n">
        <f aca="false">AK17</f>
        <v>464606.694501427</v>
      </c>
      <c r="AL18" s="64" t="n">
        <f aca="false">AL17</f>
        <v>425629.346512553</v>
      </c>
      <c r="AM18" s="64" t="n">
        <f aca="false">AM17</f>
        <v>386113.798973296</v>
      </c>
    </row>
    <row r="19" customFormat="false" ht="15" hidden="false" customHeight="true" outlineLevel="0" collapsed="false">
      <c r="A19" s="8" t="s">
        <v>414</v>
      </c>
      <c r="C19" s="10" t="s">
        <v>29</v>
      </c>
      <c r="D19" s="59" t="n">
        <f aca="false">SUM(E19:AM19)</f>
        <v>7602594.52165445</v>
      </c>
      <c r="E19" s="64" t="n">
        <f aca="false">E18*$B$7</f>
        <v>-384159.3</v>
      </c>
      <c r="F19" s="64" t="n">
        <f aca="false">F18*$B$7</f>
        <v>-923548.028025</v>
      </c>
      <c r="G19" s="64" t="n">
        <f aca="false">G18*$B$7</f>
        <v>-347696.621007724</v>
      </c>
      <c r="H19" s="64" t="n">
        <f aca="false">H18*$B$7</f>
        <v>-2147.29618771189</v>
      </c>
      <c r="I19" s="64" t="n">
        <f aca="false">I18*$B$7</f>
        <v>-2027.80211663312</v>
      </c>
      <c r="J19" s="64" t="n">
        <f aca="false">J18*$B$7</f>
        <v>257074.726421023</v>
      </c>
      <c r="K19" s="64" t="n">
        <f aca="false">K18*$B$7</f>
        <v>516124.359876803</v>
      </c>
      <c r="L19" s="64" t="n">
        <f aca="false">L18*$B$7</f>
        <v>516085.1413965</v>
      </c>
      <c r="M19" s="64" t="n">
        <f aca="false">M18*$B$7</f>
        <v>515990.347067485</v>
      </c>
      <c r="N19" s="64" t="n">
        <f aca="false">N18*$B$7</f>
        <v>483078.594154964</v>
      </c>
      <c r="O19" s="64" t="n">
        <f aca="false">O18*$B$7</f>
        <v>482868.470926915</v>
      </c>
      <c r="P19" s="64" t="n">
        <f aca="false">P18*$B$7</f>
        <v>482598.536067505</v>
      </c>
      <c r="Q19" s="64" t="n">
        <f aca="false">Q18*$B$7</f>
        <v>482267.318078731</v>
      </c>
      <c r="R19" s="64" t="n">
        <f aca="false">R18*$B$7</f>
        <v>481873.314670067</v>
      </c>
      <c r="S19" s="64" t="n">
        <f aca="false">S18*$B$7</f>
        <v>481414.992135867</v>
      </c>
      <c r="T19" s="64" t="n">
        <f aca="false">T18*$B$7</f>
        <v>499454.784720285</v>
      </c>
      <c r="U19" s="64" t="n">
        <f aca="false">U18*$B$7</f>
        <v>498863.093969464</v>
      </c>
      <c r="V19" s="64" t="n">
        <f aca="false">V18*$B$7</f>
        <v>498202.288070722</v>
      </c>
      <c r="W19" s="64" t="n">
        <f aca="false">W18*$B$7</f>
        <v>497470.701178504</v>
      </c>
      <c r="X19" s="64" t="n">
        <f aca="false">X18*$B$7</f>
        <v>529426.632726806</v>
      </c>
      <c r="Y19" s="64" t="n">
        <f aca="false">Y18*$B$7</f>
        <v>187826.835329136</v>
      </c>
      <c r="Z19" s="64" t="n">
        <f aca="false">Z18*$B$7</f>
        <v>180818.349013617</v>
      </c>
      <c r="AA19" s="64" t="n">
        <f aca="false">AA18*$B$7</f>
        <v>173723.518086898</v>
      </c>
      <c r="AB19" s="64" t="n">
        <f aca="false">AB18*$B$7</f>
        <v>166540.346531179</v>
      </c>
      <c r="AC19" s="64" t="n">
        <f aca="false">AC18*$B$7</f>
        <v>159266.799753934</v>
      </c>
      <c r="AD19" s="64" t="n">
        <f aca="false">AD18*$B$7</f>
        <v>151900.803809682</v>
      </c>
      <c r="AE19" s="64" t="n">
        <f aca="false">AE18*$B$7</f>
        <v>144440.244606243</v>
      </c>
      <c r="AF19" s="64" t="n">
        <f aca="false">AF18*$B$7</f>
        <v>136882.967095132</v>
      </c>
      <c r="AG19" s="64" t="n">
        <f aca="false">AG18*$B$7</f>
        <v>129226.774445816</v>
      </c>
      <c r="AH19" s="64" t="n">
        <f aca="false">AH18*$B$7</f>
        <v>121469.42720347</v>
      </c>
      <c r="AI19" s="64" t="n">
        <f aca="false">AI18*$B$7</f>
        <v>113608.642429933</v>
      </c>
      <c r="AJ19" s="64" t="n">
        <f aca="false">AJ18*$B$7</f>
        <v>105642.092827513</v>
      </c>
      <c r="AK19" s="64" t="n">
        <f aca="false">AK18*$B$7</f>
        <v>97567.4058452997</v>
      </c>
      <c r="AL19" s="64" t="n">
        <f aca="false">AL18*$B$7</f>
        <v>89382.1627676361</v>
      </c>
      <c r="AM19" s="64" t="n">
        <f aca="false">AM18*$B$7</f>
        <v>81083.8977843921</v>
      </c>
    </row>
    <row r="20" customFormat="false" ht="15" hidden="false" customHeight="true" outlineLevel="0" collapsed="false">
      <c r="A20" s="8" t="s">
        <v>415</v>
      </c>
      <c r="C20" s="10" t="s">
        <v>29</v>
      </c>
      <c r="D20" s="59" t="n">
        <f aca="false">SUM(E20:AM20)</f>
        <v>7558200</v>
      </c>
      <c r="E20" s="64" t="n">
        <f aca="false">$B$8*IF(E13=1,1,0)</f>
        <v>7558200</v>
      </c>
      <c r="F20" s="64" t="n">
        <f aca="false">$B$8*IF(F13=1,1,0)</f>
        <v>0</v>
      </c>
      <c r="G20" s="64" t="n">
        <f aca="false">$B$8*IF(G13=1,1,0)</f>
        <v>0</v>
      </c>
      <c r="H20" s="64" t="n">
        <f aca="false">$B$8*IF(H13=1,1,0)</f>
        <v>0</v>
      </c>
      <c r="I20" s="64" t="n">
        <f aca="false">$B$8*IF(I13=1,1,0)</f>
        <v>0</v>
      </c>
      <c r="J20" s="64" t="n">
        <f aca="false">$B$8*IF(J13=1,1,0)</f>
        <v>0</v>
      </c>
      <c r="K20" s="64" t="n">
        <f aca="false">$B$8*IF(K13=1,1,0)</f>
        <v>0</v>
      </c>
      <c r="L20" s="64" t="n">
        <f aca="false">$B$8*IF(L13=1,1,0)</f>
        <v>0</v>
      </c>
      <c r="M20" s="64" t="n">
        <f aca="false">$B$8*IF(M13=1,1,0)</f>
        <v>0</v>
      </c>
      <c r="N20" s="64" t="n">
        <f aca="false">$B$8*IF(N13=1,1,0)</f>
        <v>0</v>
      </c>
      <c r="O20" s="64" t="n">
        <f aca="false">$B$8*IF(O13=1,1,0)</f>
        <v>0</v>
      </c>
      <c r="P20" s="64" t="n">
        <f aca="false">$B$8*IF(P13=1,1,0)</f>
        <v>0</v>
      </c>
      <c r="Q20" s="64" t="n">
        <f aca="false">$B$8*IF(Q13=1,1,0)</f>
        <v>0</v>
      </c>
      <c r="R20" s="64" t="n">
        <f aca="false">$B$8*IF(R13=1,1,0)</f>
        <v>0</v>
      </c>
      <c r="S20" s="64" t="n">
        <f aca="false">$B$8*IF(S13=1,1,0)</f>
        <v>0</v>
      </c>
      <c r="T20" s="64" t="n">
        <f aca="false">$B$8*IF(T13=1,1,0)</f>
        <v>0</v>
      </c>
      <c r="U20" s="64" t="n">
        <f aca="false">$B$8*IF(U13=1,1,0)</f>
        <v>0</v>
      </c>
      <c r="V20" s="64" t="n">
        <f aca="false">$B$8*IF(V13=1,1,0)</f>
        <v>0</v>
      </c>
      <c r="W20" s="64" t="n">
        <f aca="false">$B$8*IF(W13=1,1,0)</f>
        <v>0</v>
      </c>
      <c r="X20" s="64" t="n">
        <f aca="false">$B$8*IF(X13=1,1,0)</f>
        <v>0</v>
      </c>
      <c r="Y20" s="64" t="n">
        <f aca="false">$B$8*IF(Y13=1,1,0)</f>
        <v>0</v>
      </c>
      <c r="Z20" s="64" t="n">
        <f aca="false">$B$8*IF(Z13=1,1,0)</f>
        <v>0</v>
      </c>
      <c r="AA20" s="64" t="n">
        <f aca="false">$B$8*IF(AA13=1,1,0)</f>
        <v>0</v>
      </c>
      <c r="AB20" s="64" t="n">
        <f aca="false">$B$8*IF(AB13=1,1,0)</f>
        <v>0</v>
      </c>
      <c r="AC20" s="64" t="n">
        <f aca="false">$B$8*IF(AC13=1,1,0)</f>
        <v>0</v>
      </c>
      <c r="AD20" s="64" t="n">
        <f aca="false">$B$8*IF(AD13=1,1,0)</f>
        <v>0</v>
      </c>
      <c r="AE20" s="64" t="n">
        <f aca="false">$B$8*IF(AE13=1,1,0)</f>
        <v>0</v>
      </c>
      <c r="AF20" s="64" t="n">
        <f aca="false">$B$8*IF(AF13=1,1,0)</f>
        <v>0</v>
      </c>
      <c r="AG20" s="64" t="n">
        <f aca="false">$B$8*IF(AG13=1,1,0)</f>
        <v>0</v>
      </c>
      <c r="AH20" s="64" t="n">
        <f aca="false">$B$8*IF(AH13=1,1,0)</f>
        <v>0</v>
      </c>
      <c r="AI20" s="64" t="n">
        <f aca="false">$B$8*IF(AI13=1,1,0)</f>
        <v>0</v>
      </c>
      <c r="AJ20" s="64" t="n">
        <f aca="false">$B$8*IF(AJ13=1,1,0)</f>
        <v>0</v>
      </c>
      <c r="AK20" s="64" t="n">
        <f aca="false">$B$8*IF(AK13=1,1,0)</f>
        <v>0</v>
      </c>
      <c r="AL20" s="64" t="n">
        <f aca="false">$B$8*IF(AL13=1,1,0)</f>
        <v>0</v>
      </c>
      <c r="AM20" s="64" t="n">
        <f aca="false">$B$8*IF(AM13=1,1,0)</f>
        <v>0</v>
      </c>
    </row>
    <row r="21" customFormat="false" ht="15" hidden="false" customHeight="true" outlineLevel="0" collapsed="false">
      <c r="A21" s="8" t="s">
        <v>416</v>
      </c>
      <c r="C21" s="10" t="s">
        <v>29</v>
      </c>
      <c r="D21" s="59" t="n">
        <f aca="false">SUM(E21:AM21)</f>
        <v>36158436.5338429</v>
      </c>
      <c r="E21" s="44" t="n">
        <f aca="false">E18-E19+E20</f>
        <v>6113029.3</v>
      </c>
      <c r="F21" s="44" t="n">
        <f aca="false">F18-F19+F20</f>
        <v>-3474299.724475</v>
      </c>
      <c r="G21" s="44" t="n">
        <f aca="false">G18-G19+G20</f>
        <v>-1308001.57426715</v>
      </c>
      <c r="H21" s="44" t="n">
        <f aca="false">H18-H19+H20</f>
        <v>-8077.92375377331</v>
      </c>
      <c r="I21" s="44" t="n">
        <f aca="false">I18-I19+I20</f>
        <v>-7628.39843876268</v>
      </c>
      <c r="J21" s="44" t="n">
        <f aca="false">J18-J19+J20</f>
        <v>967090.637488609</v>
      </c>
      <c r="K21" s="44" t="n">
        <f aca="false">K18-K19+K20</f>
        <v>1941610.68715559</v>
      </c>
      <c r="L21" s="44" t="n">
        <f aca="false">L18-L19+L20</f>
        <v>1941463.15096779</v>
      </c>
      <c r="M21" s="44" t="n">
        <f aca="false">M18-M19+M20</f>
        <v>1941106.54373006</v>
      </c>
      <c r="N21" s="44" t="n">
        <f aca="false">N18-N19+N20</f>
        <v>1817295.66372582</v>
      </c>
      <c r="O21" s="44" t="n">
        <f aca="false">O18-O19+O20</f>
        <v>1816505.20015363</v>
      </c>
      <c r="P21" s="44" t="n">
        <f aca="false">P18-P19+P20</f>
        <v>1815489.73092062</v>
      </c>
      <c r="Q21" s="44" t="n">
        <f aca="false">Q18-Q19+Q20</f>
        <v>1814243.72039142</v>
      </c>
      <c r="R21" s="44" t="n">
        <f aca="false">R18-R19+R20</f>
        <v>1812761.51709216</v>
      </c>
      <c r="S21" s="44" t="n">
        <f aca="false">S18-S19+S20</f>
        <v>1811037.35136826</v>
      </c>
      <c r="T21" s="44" t="n">
        <f aca="false">T18-T19+T20</f>
        <v>1878901.33299536</v>
      </c>
      <c r="U21" s="44" t="n">
        <f aca="false">U18-U19+U20</f>
        <v>1876675.44874227</v>
      </c>
      <c r="V21" s="44" t="n">
        <f aca="false">V18-V19+V20</f>
        <v>1874189.5598851</v>
      </c>
      <c r="W21" s="44" t="n">
        <f aca="false">W18-W19+W20</f>
        <v>1871437.39967152</v>
      </c>
      <c r="X21" s="44" t="n">
        <f aca="false">X18-X19+X20</f>
        <v>1991652.57073418</v>
      </c>
      <c r="Y21" s="44" t="n">
        <f aca="false">Y18-Y19+Y20</f>
        <v>706586.666238179</v>
      </c>
      <c r="Z21" s="44" t="n">
        <f aca="false">Z18-Z19+Z20</f>
        <v>680221.408194083</v>
      </c>
      <c r="AA21" s="44" t="n">
        <f aca="false">AA18-AA19+AA20</f>
        <v>653531.329945949</v>
      </c>
      <c r="AB21" s="44" t="n">
        <f aca="false">AB18-AB19+AB20</f>
        <v>626508.922664912</v>
      </c>
      <c r="AC21" s="44" t="n">
        <f aca="false">AC18-AC19+AC20</f>
        <v>599146.532407655</v>
      </c>
      <c r="AD21" s="44" t="n">
        <f aca="false">AD18-AD19+AD20</f>
        <v>571436.357188805</v>
      </c>
      <c r="AE21" s="44" t="n">
        <f aca="false">AE18-AE19+AE20</f>
        <v>543370.443994913</v>
      </c>
      <c r="AF21" s="44" t="n">
        <f aca="false">AF18-AF19+AF20</f>
        <v>514940.685738832</v>
      </c>
      <c r="AG21" s="44" t="n">
        <f aca="false">AG18-AG19+AG20</f>
        <v>486138.818153309</v>
      </c>
      <c r="AH21" s="44" t="n">
        <f aca="false">AH18-AH19+AH20</f>
        <v>456956.416622577</v>
      </c>
      <c r="AI21" s="44" t="n">
        <f aca="false">AI18-AI19+AI20</f>
        <v>427384.892950699</v>
      </c>
      <c r="AJ21" s="44" t="n">
        <f aca="false">AJ18-AJ19+AJ20</f>
        <v>397415.492065405</v>
      </c>
      <c r="AK21" s="44" t="n">
        <f aca="false">AK18-AK19+AK20</f>
        <v>367039.288656127</v>
      </c>
      <c r="AL21" s="44" t="n">
        <f aca="false">AL18-AL19+AL20</f>
        <v>336247.183744917</v>
      </c>
      <c r="AM21" s="44" t="n">
        <f aca="false">AM18-AM19+AM20</f>
        <v>305029.901188904</v>
      </c>
    </row>
    <row r="23" customFormat="false" ht="15" hidden="false" customHeight="true" outlineLevel="0" collapsed="false">
      <c r="A23" s="57" t="s">
        <v>417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</row>
    <row r="24" customFormat="false" ht="15" hidden="false" customHeight="true" outlineLevel="0" collapsed="false">
      <c r="A24" s="8" t="s">
        <v>418</v>
      </c>
      <c r="C24" s="10" t="s">
        <v>29</v>
      </c>
      <c r="D24" s="59" t="n">
        <f aca="false">SUM(E24:AM24)</f>
        <v>58899336.5338429</v>
      </c>
      <c r="E24" s="44" t="n">
        <f aca="false">E21+E11</f>
        <v>10484409.3</v>
      </c>
      <c r="F24" s="44" t="n">
        <f aca="false">F21+F11</f>
        <v>3466868.275525</v>
      </c>
      <c r="G24" s="44" t="n">
        <f aca="false">G21+G11</f>
        <v>2892059.22573285</v>
      </c>
      <c r="H24" s="44" t="n">
        <f aca="false">H21+H11</f>
        <v>2547318.55624623</v>
      </c>
      <c r="I24" s="44" t="n">
        <f aca="false">I21+I11</f>
        <v>2547768.08156124</v>
      </c>
      <c r="J24" s="44" t="n">
        <f aca="false">J21+J11</f>
        <v>2288988.87748861</v>
      </c>
      <c r="K24" s="44" t="n">
        <f aca="false">K21+K11</f>
        <v>2030010.68715559</v>
      </c>
      <c r="L24" s="44" t="n">
        <f aca="false">L21+L11</f>
        <v>2029863.15096779</v>
      </c>
      <c r="M24" s="44" t="n">
        <f aca="false">M21+M11</f>
        <v>2029506.54373006</v>
      </c>
      <c r="N24" s="44" t="n">
        <f aca="false">N21+N11</f>
        <v>1905695.66372582</v>
      </c>
      <c r="O24" s="44" t="n">
        <f aca="false">O21+O11</f>
        <v>1904905.20015363</v>
      </c>
      <c r="P24" s="44" t="n">
        <f aca="false">P21+P11</f>
        <v>1903889.73092062</v>
      </c>
      <c r="Q24" s="44" t="n">
        <f aca="false">Q21+Q11</f>
        <v>1902643.72039142</v>
      </c>
      <c r="R24" s="44" t="n">
        <f aca="false">R21+R11</f>
        <v>1901161.51709216</v>
      </c>
      <c r="S24" s="44" t="n">
        <f aca="false">S21+S11</f>
        <v>1899437.35136826</v>
      </c>
      <c r="T24" s="44" t="n">
        <f aca="false">T21+T11</f>
        <v>1878901.33299536</v>
      </c>
      <c r="U24" s="44" t="n">
        <f aca="false">U21+U11</f>
        <v>1876675.44874227</v>
      </c>
      <c r="V24" s="44" t="n">
        <f aca="false">V21+V11</f>
        <v>1874189.5598851</v>
      </c>
      <c r="W24" s="44" t="n">
        <f aca="false">W21+W11</f>
        <v>1871437.39967152</v>
      </c>
      <c r="X24" s="44" t="n">
        <f aca="false">X21+X11</f>
        <v>1991652.57073418</v>
      </c>
      <c r="Y24" s="44" t="n">
        <f aca="false">Y21+Y11</f>
        <v>706586.666238179</v>
      </c>
      <c r="Z24" s="44" t="n">
        <f aca="false">Z21+Z11</f>
        <v>680221.408194083</v>
      </c>
      <c r="AA24" s="44" t="n">
        <f aca="false">AA21+AA11</f>
        <v>653531.329945949</v>
      </c>
      <c r="AB24" s="44" t="n">
        <f aca="false">AB21+AB11</f>
        <v>626508.922664912</v>
      </c>
      <c r="AC24" s="44" t="n">
        <f aca="false">AC21+AC11</f>
        <v>599146.532407655</v>
      </c>
      <c r="AD24" s="44" t="n">
        <f aca="false">AD21+AD11</f>
        <v>571436.357188805</v>
      </c>
      <c r="AE24" s="44" t="n">
        <f aca="false">AE21+AE11</f>
        <v>543370.443994913</v>
      </c>
      <c r="AF24" s="44" t="n">
        <f aca="false">AF21+AF11</f>
        <v>514940.685738832</v>
      </c>
      <c r="AG24" s="44" t="n">
        <f aca="false">AG21+AG11</f>
        <v>486138.818153309</v>
      </c>
      <c r="AH24" s="44" t="n">
        <f aca="false">AH21+AH11</f>
        <v>456956.416622577</v>
      </c>
      <c r="AI24" s="44" t="n">
        <f aca="false">AI21+AI11</f>
        <v>427384.892950699</v>
      </c>
      <c r="AJ24" s="44" t="n">
        <f aca="false">AJ21+AJ11</f>
        <v>397415.492065405</v>
      </c>
      <c r="AK24" s="44" t="n">
        <f aca="false">AK21+AK11</f>
        <v>367039.288656127</v>
      </c>
      <c r="AL24" s="44" t="n">
        <f aca="false">AL21+AL11</f>
        <v>336247.183744917</v>
      </c>
      <c r="AM24" s="44" t="n">
        <f aca="false">AM21+AM11</f>
        <v>305029.901188904</v>
      </c>
    </row>
    <row r="25" customFormat="false" ht="15" hidden="false" customHeight="true" outlineLevel="0" collapsed="false">
      <c r="A25" s="8" t="s">
        <v>419</v>
      </c>
      <c r="C25" s="10" t="s">
        <v>29</v>
      </c>
      <c r="E25" s="64" t="n">
        <f aca="false">E24</f>
        <v>10484409.3</v>
      </c>
      <c r="F25" s="64" t="n">
        <f aca="false">E25+F24</f>
        <v>13951277.575525</v>
      </c>
      <c r="G25" s="64" t="n">
        <f aca="false">F25+G24</f>
        <v>16843336.8012579</v>
      </c>
      <c r="H25" s="64" t="n">
        <f aca="false">G25+H24</f>
        <v>19390655.3575041</v>
      </c>
      <c r="I25" s="64" t="n">
        <f aca="false">H25+I24</f>
        <v>21938423.4390653</v>
      </c>
      <c r="J25" s="64" t="n">
        <f aca="false">I25+J24</f>
        <v>24227412.3165539</v>
      </c>
      <c r="K25" s="64" t="n">
        <f aca="false">J25+K24</f>
        <v>26257423.0037095</v>
      </c>
      <c r="L25" s="64" t="n">
        <f aca="false">K25+L24</f>
        <v>28287286.1546773</v>
      </c>
      <c r="M25" s="64" t="n">
        <f aca="false">L25+M24</f>
        <v>30316792.6984074</v>
      </c>
      <c r="N25" s="64" t="n">
        <f aca="false">M25+N24</f>
        <v>32222488.3621332</v>
      </c>
      <c r="O25" s="64" t="n">
        <f aca="false">N25+O24</f>
        <v>34127393.5622868</v>
      </c>
      <c r="P25" s="64" t="n">
        <f aca="false">O25+P24</f>
        <v>36031283.2932074</v>
      </c>
      <c r="Q25" s="64" t="n">
        <f aca="false">P25+Q24</f>
        <v>37933927.0135988</v>
      </c>
      <c r="R25" s="64" t="n">
        <f aca="false">Q25+R24</f>
        <v>39835088.530691</v>
      </c>
      <c r="S25" s="64" t="n">
        <f aca="false">R25+S24</f>
        <v>41734525.8820593</v>
      </c>
      <c r="T25" s="64" t="n">
        <f aca="false">S25+T24</f>
        <v>43613427.2150546</v>
      </c>
      <c r="U25" s="64" t="n">
        <f aca="false">T25+U24</f>
        <v>45490102.6637969</v>
      </c>
      <c r="V25" s="64" t="n">
        <f aca="false">U25+V24</f>
        <v>47364292.223682</v>
      </c>
      <c r="W25" s="64" t="n">
        <f aca="false">V25+W24</f>
        <v>49235729.6233535</v>
      </c>
      <c r="X25" s="64" t="n">
        <f aca="false">W25+X24</f>
        <v>51227382.1940877</v>
      </c>
      <c r="Y25" s="64" t="n">
        <f aca="false">X25+Y24</f>
        <v>51933968.8603259</v>
      </c>
      <c r="Z25" s="64" t="n">
        <f aca="false">Y25+Z24</f>
        <v>52614190.2685199</v>
      </c>
      <c r="AA25" s="64" t="n">
        <f aca="false">Z25+AA24</f>
        <v>53267721.5984659</v>
      </c>
      <c r="AB25" s="64" t="n">
        <f aca="false">AA25+AB24</f>
        <v>53894230.5211308</v>
      </c>
      <c r="AC25" s="64" t="n">
        <f aca="false">AB25+AC24</f>
        <v>54493377.0535385</v>
      </c>
      <c r="AD25" s="64" t="n">
        <f aca="false">AC25+AD24</f>
        <v>55064813.4107273</v>
      </c>
      <c r="AE25" s="64" t="n">
        <f aca="false">AD25+AE24</f>
        <v>55608183.8547222</v>
      </c>
      <c r="AF25" s="64" t="n">
        <f aca="false">AE25+AF24</f>
        <v>56123124.540461</v>
      </c>
      <c r="AG25" s="64" t="n">
        <f aca="false">AF25+AG24</f>
        <v>56609263.3586143</v>
      </c>
      <c r="AH25" s="64" t="n">
        <f aca="false">AG25+AH24</f>
        <v>57066219.7752369</v>
      </c>
      <c r="AI25" s="64" t="n">
        <f aca="false">AH25+AI24</f>
        <v>57493604.6681876</v>
      </c>
      <c r="AJ25" s="64" t="n">
        <f aca="false">AI25+AJ24</f>
        <v>57891020.160253</v>
      </c>
      <c r="AK25" s="64" t="n">
        <f aca="false">AJ25+AK24</f>
        <v>58258059.4489091</v>
      </c>
      <c r="AL25" s="64" t="n">
        <f aca="false">AK25+AL24</f>
        <v>58594306.6326541</v>
      </c>
      <c r="AM25" s="64" t="n">
        <f aca="false">AL25+AM24</f>
        <v>58899336.533843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5" topLeftCell="E6" activePane="bottomRight" state="frozen"/>
      <selection pane="topLeft" activeCell="A1" activeCellId="0" sqref="A1"/>
      <selection pane="topRight" activeCell="E1" activeCellId="0" sqref="E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42"/>
    <col collapsed="false" customWidth="true" hidden="false" outlineLevel="0" max="2" min="2" style="1" width="14"/>
    <col collapsed="false" customWidth="true" hidden="false" outlineLevel="0" max="3" min="3" style="1" width="12"/>
    <col collapsed="false" customWidth="true" hidden="false" outlineLevel="0" max="4" min="4" style="1" width="14"/>
    <col collapsed="false" customWidth="true" hidden="false" outlineLevel="0" max="39" min="5" style="1" width="12"/>
  </cols>
  <sheetData>
    <row r="1" customFormat="false" ht="15" hidden="false" customHeight="true" outlineLevel="0" collapsed="false">
      <c r="A1" s="52" t="s">
        <v>420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customFormat="false" ht="15" hidden="false" customHeight="true" outlineLevel="0" collapsed="false">
      <c r="A2" s="4" t="s">
        <v>205</v>
      </c>
      <c r="C2" s="8" t="s">
        <v>206</v>
      </c>
      <c r="E2" s="53" t="n">
        <v>46023</v>
      </c>
      <c r="F2" s="53" t="n">
        <v>46388</v>
      </c>
      <c r="G2" s="53" t="n">
        <v>46753</v>
      </c>
      <c r="H2" s="53" t="n">
        <v>47119</v>
      </c>
      <c r="I2" s="53" t="n">
        <v>47484</v>
      </c>
      <c r="J2" s="53" t="n">
        <v>47849</v>
      </c>
      <c r="K2" s="53" t="n">
        <v>48214</v>
      </c>
      <c r="L2" s="53" t="n">
        <v>48580</v>
      </c>
      <c r="M2" s="53" t="n">
        <v>48945</v>
      </c>
      <c r="N2" s="53" t="n">
        <v>49310</v>
      </c>
      <c r="O2" s="53" t="n">
        <v>49675</v>
      </c>
      <c r="P2" s="53" t="n">
        <v>50041</v>
      </c>
      <c r="Q2" s="53" t="n">
        <v>50406</v>
      </c>
      <c r="R2" s="53" t="n">
        <v>50771</v>
      </c>
      <c r="S2" s="53" t="n">
        <v>51136</v>
      </c>
      <c r="T2" s="53" t="n">
        <v>51502</v>
      </c>
      <c r="U2" s="53" t="n">
        <v>51867</v>
      </c>
      <c r="V2" s="53" t="n">
        <v>52232</v>
      </c>
      <c r="W2" s="53" t="n">
        <v>52597</v>
      </c>
      <c r="X2" s="53" t="n">
        <v>52963</v>
      </c>
      <c r="Y2" s="53" t="n">
        <v>53328</v>
      </c>
      <c r="Z2" s="53" t="n">
        <v>53693</v>
      </c>
      <c r="AA2" s="53" t="n">
        <v>54058</v>
      </c>
      <c r="AB2" s="53" t="n">
        <v>54424</v>
      </c>
      <c r="AC2" s="53" t="n">
        <v>54789</v>
      </c>
      <c r="AD2" s="53" t="n">
        <v>55154</v>
      </c>
      <c r="AE2" s="53" t="n">
        <v>55519</v>
      </c>
      <c r="AF2" s="53" t="n">
        <v>55885</v>
      </c>
      <c r="AG2" s="53" t="n">
        <v>56250</v>
      </c>
      <c r="AH2" s="53" t="n">
        <v>56615</v>
      </c>
      <c r="AI2" s="53" t="n">
        <v>56980</v>
      </c>
      <c r="AJ2" s="53" t="n">
        <v>57346</v>
      </c>
      <c r="AK2" s="53" t="n">
        <v>57711</v>
      </c>
      <c r="AL2" s="53" t="n">
        <v>58076</v>
      </c>
      <c r="AM2" s="53" t="n">
        <v>58441</v>
      </c>
    </row>
    <row r="3" customFormat="false" ht="15" hidden="false" customHeight="true" outlineLevel="0" collapsed="false">
      <c r="A3" s="4" t="s">
        <v>207</v>
      </c>
      <c r="C3" s="8" t="s">
        <v>206</v>
      </c>
      <c r="E3" s="53" t="n">
        <v>46387</v>
      </c>
      <c r="F3" s="53" t="n">
        <v>46752</v>
      </c>
      <c r="G3" s="53" t="n">
        <v>47118</v>
      </c>
      <c r="H3" s="53" t="n">
        <v>47483</v>
      </c>
      <c r="I3" s="53" t="n">
        <v>47848</v>
      </c>
      <c r="J3" s="53" t="n">
        <v>48213</v>
      </c>
      <c r="K3" s="53" t="n">
        <v>48579</v>
      </c>
      <c r="L3" s="53" t="n">
        <v>48944</v>
      </c>
      <c r="M3" s="53" t="n">
        <v>49309</v>
      </c>
      <c r="N3" s="53" t="n">
        <v>49674</v>
      </c>
      <c r="O3" s="53" t="n">
        <v>50040</v>
      </c>
      <c r="P3" s="53" t="n">
        <v>50405</v>
      </c>
      <c r="Q3" s="53" t="n">
        <v>50770</v>
      </c>
      <c r="R3" s="53" t="n">
        <v>51135</v>
      </c>
      <c r="S3" s="53" t="n">
        <v>51501</v>
      </c>
      <c r="T3" s="53" t="n">
        <v>51866</v>
      </c>
      <c r="U3" s="53" t="n">
        <v>52231</v>
      </c>
      <c r="V3" s="53" t="n">
        <v>52596</v>
      </c>
      <c r="W3" s="53" t="n">
        <v>52962</v>
      </c>
      <c r="X3" s="53" t="n">
        <v>53327</v>
      </c>
      <c r="Y3" s="53" t="n">
        <v>53692</v>
      </c>
      <c r="Z3" s="53" t="n">
        <v>54057</v>
      </c>
      <c r="AA3" s="53" t="n">
        <v>54423</v>
      </c>
      <c r="AB3" s="53" t="n">
        <v>54788</v>
      </c>
      <c r="AC3" s="53" t="n">
        <v>55153</v>
      </c>
      <c r="AD3" s="53" t="n">
        <v>55518</v>
      </c>
      <c r="AE3" s="53" t="n">
        <v>55884</v>
      </c>
      <c r="AF3" s="53" t="n">
        <v>56249</v>
      </c>
      <c r="AG3" s="53" t="n">
        <v>56614</v>
      </c>
      <c r="AH3" s="53" t="n">
        <v>56979</v>
      </c>
      <c r="AI3" s="53" t="n">
        <v>57345</v>
      </c>
      <c r="AJ3" s="53" t="n">
        <v>57710</v>
      </c>
      <c r="AK3" s="53" t="n">
        <v>58075</v>
      </c>
      <c r="AL3" s="53" t="n">
        <v>58440</v>
      </c>
      <c r="AM3" s="53" t="n">
        <v>58806</v>
      </c>
    </row>
    <row r="4" customFormat="false" ht="15" hidden="false" customHeight="true" outlineLevel="0" collapsed="false">
      <c r="A4" s="4" t="s">
        <v>208</v>
      </c>
      <c r="C4" s="8" t="s">
        <v>209</v>
      </c>
      <c r="E4" s="54" t="n">
        <v>1</v>
      </c>
      <c r="F4" s="54" t="n">
        <v>2</v>
      </c>
      <c r="G4" s="54" t="n">
        <v>3</v>
      </c>
      <c r="H4" s="54" t="n">
        <v>4</v>
      </c>
      <c r="I4" s="54" t="n">
        <v>5</v>
      </c>
      <c r="J4" s="54" t="n">
        <v>6</v>
      </c>
      <c r="K4" s="54" t="n">
        <v>7</v>
      </c>
      <c r="L4" s="54" t="n">
        <v>8</v>
      </c>
      <c r="M4" s="54" t="n">
        <v>9</v>
      </c>
      <c r="N4" s="54" t="n">
        <v>10</v>
      </c>
      <c r="O4" s="54" t="n">
        <v>11</v>
      </c>
      <c r="P4" s="54" t="n">
        <v>12</v>
      </c>
      <c r="Q4" s="54" t="n">
        <v>13</v>
      </c>
      <c r="R4" s="54" t="n">
        <v>14</v>
      </c>
      <c r="S4" s="54" t="n">
        <v>15</v>
      </c>
      <c r="T4" s="54" t="n">
        <v>16</v>
      </c>
      <c r="U4" s="54" t="n">
        <v>17</v>
      </c>
      <c r="V4" s="54" t="n">
        <v>18</v>
      </c>
      <c r="W4" s="54" t="n">
        <v>19</v>
      </c>
      <c r="X4" s="54" t="n">
        <v>20</v>
      </c>
      <c r="Y4" s="54" t="n">
        <v>21</v>
      </c>
      <c r="Z4" s="54" t="n">
        <v>22</v>
      </c>
      <c r="AA4" s="54" t="n">
        <v>23</v>
      </c>
      <c r="AB4" s="54" t="n">
        <v>24</v>
      </c>
      <c r="AC4" s="54" t="n">
        <v>25</v>
      </c>
      <c r="AD4" s="54" t="n">
        <v>26</v>
      </c>
      <c r="AE4" s="54" t="n">
        <v>27</v>
      </c>
      <c r="AF4" s="54" t="n">
        <v>28</v>
      </c>
      <c r="AG4" s="54" t="n">
        <v>29</v>
      </c>
      <c r="AH4" s="54" t="n">
        <v>30</v>
      </c>
      <c r="AI4" s="54" t="n">
        <v>31</v>
      </c>
      <c r="AJ4" s="54" t="n">
        <v>32</v>
      </c>
      <c r="AK4" s="54" t="n">
        <v>33</v>
      </c>
      <c r="AL4" s="54" t="n">
        <v>34</v>
      </c>
      <c r="AM4" s="54" t="n">
        <v>35</v>
      </c>
    </row>
    <row r="5" customFormat="false" ht="15" hidden="false" customHeight="true" outlineLevel="0" collapsed="false">
      <c r="A5" s="55" t="s">
        <v>210</v>
      </c>
      <c r="B5" s="55" t="s">
        <v>90</v>
      </c>
      <c r="C5" s="55" t="s">
        <v>91</v>
      </c>
      <c r="D5" s="55" t="s">
        <v>211</v>
      </c>
      <c r="E5" s="56" t="n">
        <v>2026</v>
      </c>
      <c r="F5" s="56" t="n">
        <v>2027</v>
      </c>
      <c r="G5" s="56" t="n">
        <v>2028</v>
      </c>
      <c r="H5" s="56" t="n">
        <v>2029</v>
      </c>
      <c r="I5" s="56" t="n">
        <v>2030</v>
      </c>
      <c r="J5" s="56" t="n">
        <v>2031</v>
      </c>
      <c r="K5" s="56" t="n">
        <v>2032</v>
      </c>
      <c r="L5" s="56" t="n">
        <v>2033</v>
      </c>
      <c r="M5" s="56" t="n">
        <v>2034</v>
      </c>
      <c r="N5" s="56" t="n">
        <v>2035</v>
      </c>
      <c r="O5" s="56" t="n">
        <v>2036</v>
      </c>
      <c r="P5" s="56" t="n">
        <v>2037</v>
      </c>
      <c r="Q5" s="56" t="n">
        <v>2038</v>
      </c>
      <c r="R5" s="56" t="n">
        <v>2039</v>
      </c>
      <c r="S5" s="56" t="n">
        <v>2040</v>
      </c>
      <c r="T5" s="56" t="n">
        <v>2041</v>
      </c>
      <c r="U5" s="56" t="n">
        <v>2042</v>
      </c>
      <c r="V5" s="56" t="n">
        <v>2043</v>
      </c>
      <c r="W5" s="56" t="n">
        <v>2044</v>
      </c>
      <c r="X5" s="56" t="n">
        <v>2045</v>
      </c>
      <c r="Y5" s="56" t="n">
        <v>2046</v>
      </c>
      <c r="Z5" s="56" t="n">
        <v>2047</v>
      </c>
      <c r="AA5" s="56" t="n">
        <v>2048</v>
      </c>
      <c r="AB5" s="56" t="n">
        <v>2049</v>
      </c>
      <c r="AC5" s="56" t="n">
        <v>2050</v>
      </c>
      <c r="AD5" s="56" t="n">
        <v>2051</v>
      </c>
      <c r="AE5" s="56" t="n">
        <v>2052</v>
      </c>
      <c r="AF5" s="56" t="n">
        <v>2053</v>
      </c>
      <c r="AG5" s="56" t="n">
        <v>2054</v>
      </c>
      <c r="AH5" s="56" t="n">
        <v>2055</v>
      </c>
      <c r="AI5" s="56" t="n">
        <v>2056</v>
      </c>
      <c r="AJ5" s="56" t="n">
        <v>2057</v>
      </c>
      <c r="AK5" s="56" t="n">
        <v>2058</v>
      </c>
      <c r="AL5" s="56" t="n">
        <v>2059</v>
      </c>
      <c r="AM5" s="56" t="n">
        <v>2060</v>
      </c>
    </row>
    <row r="6" customFormat="false" ht="15" hidden="false" customHeight="true" outlineLevel="0" collapsed="false">
      <c r="A6" s="57" t="s">
        <v>404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</row>
    <row r="7" customFormat="false" ht="15" hidden="false" customHeight="true" outlineLevel="0" collapsed="false">
      <c r="A7" s="8" t="s">
        <v>421</v>
      </c>
      <c r="B7" s="17" t="n">
        <f aca="false">SUM(ConFin!E42:P42)</f>
        <v>31121039.6479994</v>
      </c>
      <c r="C7" s="10" t="s">
        <v>29</v>
      </c>
    </row>
    <row r="8" customFormat="false" ht="15" hidden="false" customHeight="true" outlineLevel="0" collapsed="false">
      <c r="A8" s="8" t="s">
        <v>422</v>
      </c>
      <c r="B8" s="12" t="n">
        <f aca="false">InpC!B48</f>
        <v>0.08</v>
      </c>
      <c r="C8" s="10" t="s">
        <v>15</v>
      </c>
    </row>
    <row r="9" customFormat="false" ht="15" hidden="false" customHeight="true" outlineLevel="0" collapsed="false">
      <c r="A9" s="8" t="s">
        <v>423</v>
      </c>
      <c r="C9" s="10" t="s">
        <v>29</v>
      </c>
      <c r="D9" s="59" t="n">
        <f aca="false">SUM(E9:AM9)</f>
        <v>58899336.5338429</v>
      </c>
      <c r="E9" s="17" t="n">
        <f aca="false">Tax!E24</f>
        <v>10484409.3</v>
      </c>
      <c r="F9" s="17" t="n">
        <f aca="false">Tax!F24</f>
        <v>3466868.275525</v>
      </c>
      <c r="G9" s="17" t="n">
        <f aca="false">Tax!G24</f>
        <v>2892059.22573285</v>
      </c>
      <c r="H9" s="17" t="n">
        <f aca="false">Tax!H24</f>
        <v>2547318.55624623</v>
      </c>
      <c r="I9" s="17" t="n">
        <f aca="false">Tax!I24</f>
        <v>2547768.08156124</v>
      </c>
      <c r="J9" s="17" t="n">
        <f aca="false">Tax!J24</f>
        <v>2288988.87748861</v>
      </c>
      <c r="K9" s="17" t="n">
        <f aca="false">Tax!K24</f>
        <v>2030010.68715559</v>
      </c>
      <c r="L9" s="17" t="n">
        <f aca="false">Tax!L24</f>
        <v>2029863.15096779</v>
      </c>
      <c r="M9" s="17" t="n">
        <f aca="false">Tax!M24</f>
        <v>2029506.54373006</v>
      </c>
      <c r="N9" s="17" t="n">
        <f aca="false">Tax!N24</f>
        <v>1905695.66372582</v>
      </c>
      <c r="O9" s="17" t="n">
        <f aca="false">Tax!O24</f>
        <v>1904905.20015363</v>
      </c>
      <c r="P9" s="17" t="n">
        <f aca="false">Tax!P24</f>
        <v>1903889.73092062</v>
      </c>
      <c r="Q9" s="17" t="n">
        <f aca="false">Tax!Q24</f>
        <v>1902643.72039142</v>
      </c>
      <c r="R9" s="17" t="n">
        <f aca="false">Tax!R24</f>
        <v>1901161.51709216</v>
      </c>
      <c r="S9" s="17" t="n">
        <f aca="false">Tax!S24</f>
        <v>1899437.35136826</v>
      </c>
      <c r="T9" s="17" t="n">
        <f aca="false">Tax!T24</f>
        <v>1878901.33299536</v>
      </c>
      <c r="U9" s="17" t="n">
        <f aca="false">Tax!U24</f>
        <v>1876675.44874227</v>
      </c>
      <c r="V9" s="17" t="n">
        <f aca="false">Tax!V24</f>
        <v>1874189.5598851</v>
      </c>
      <c r="W9" s="17" t="n">
        <f aca="false">Tax!W24</f>
        <v>1871437.39967152</v>
      </c>
      <c r="X9" s="17" t="n">
        <f aca="false">Tax!X24</f>
        <v>1991652.57073418</v>
      </c>
      <c r="Y9" s="17" t="n">
        <f aca="false">Tax!Y24</f>
        <v>706586.666238179</v>
      </c>
      <c r="Z9" s="17" t="n">
        <f aca="false">Tax!Z24</f>
        <v>680221.408194083</v>
      </c>
      <c r="AA9" s="17" t="n">
        <f aca="false">Tax!AA24</f>
        <v>653531.329945949</v>
      </c>
      <c r="AB9" s="17" t="n">
        <f aca="false">Tax!AB24</f>
        <v>626508.922664912</v>
      </c>
      <c r="AC9" s="17" t="n">
        <f aca="false">Tax!AC24</f>
        <v>599146.532407655</v>
      </c>
      <c r="AD9" s="17" t="n">
        <f aca="false">Tax!AD24</f>
        <v>571436.357188805</v>
      </c>
      <c r="AE9" s="17" t="n">
        <f aca="false">Tax!AE24</f>
        <v>543370.443994913</v>
      </c>
      <c r="AF9" s="17" t="n">
        <f aca="false">Tax!AF24</f>
        <v>514940.685738832</v>
      </c>
      <c r="AG9" s="17" t="n">
        <f aca="false">Tax!AG24</f>
        <v>486138.818153309</v>
      </c>
      <c r="AH9" s="17" t="n">
        <f aca="false">Tax!AH24</f>
        <v>456956.416622577</v>
      </c>
      <c r="AI9" s="17" t="n">
        <f aca="false">Tax!AI24</f>
        <v>427384.892950699</v>
      </c>
      <c r="AJ9" s="17" t="n">
        <f aca="false">Tax!AJ24</f>
        <v>397415.492065405</v>
      </c>
      <c r="AK9" s="17" t="n">
        <f aca="false">Tax!AK24</f>
        <v>367039.288656127</v>
      </c>
      <c r="AL9" s="17" t="n">
        <f aca="false">Tax!AL24</f>
        <v>336247.183744917</v>
      </c>
      <c r="AM9" s="17" t="n">
        <f aca="false">Tax!AM24</f>
        <v>305029.901188904</v>
      </c>
    </row>
    <row r="10" customFormat="false" ht="15" hidden="false" customHeight="true" outlineLevel="0" collapsed="false">
      <c r="A10" s="8" t="s">
        <v>424</v>
      </c>
      <c r="C10" s="10" t="s">
        <v>29</v>
      </c>
      <c r="D10" s="59" t="n">
        <f aca="false">SUM(E10:AM10)</f>
        <v>58943731.0554974</v>
      </c>
      <c r="E10" s="17" t="n">
        <f aca="false">Tax!E16</f>
        <v>2542050</v>
      </c>
      <c r="F10" s="17" t="n">
        <f aca="false">Tax!F16</f>
        <v>2543320.2475</v>
      </c>
      <c r="G10" s="17" t="n">
        <f aca="false">Tax!G16</f>
        <v>2544362.60472513</v>
      </c>
      <c r="H10" s="17" t="n">
        <f aca="false">Tax!H16</f>
        <v>2545171.26005852</v>
      </c>
      <c r="I10" s="17" t="n">
        <f aca="false">Tax!I16</f>
        <v>2545740.2794446</v>
      </c>
      <c r="J10" s="17" t="n">
        <f aca="false">Tax!J16</f>
        <v>2546063.60390963</v>
      </c>
      <c r="K10" s="17" t="n">
        <f aca="false">Tax!K16</f>
        <v>2546135.0470324</v>
      </c>
      <c r="L10" s="17" t="n">
        <f aca="false">Tax!L16</f>
        <v>2545948.29236429</v>
      </c>
      <c r="M10" s="17" t="n">
        <f aca="false">Tax!M16</f>
        <v>2545496.89079755</v>
      </c>
      <c r="N10" s="17" t="n">
        <f aca="false">Tax!N16</f>
        <v>2388774.25788078</v>
      </c>
      <c r="O10" s="17" t="n">
        <f aca="false">Tax!O16</f>
        <v>2387773.67108055</v>
      </c>
      <c r="P10" s="17" t="n">
        <f aca="false">Tax!P16</f>
        <v>2386488.26698812</v>
      </c>
      <c r="Q10" s="17" t="n">
        <f aca="false">Tax!Q16</f>
        <v>2384911.03847015</v>
      </c>
      <c r="R10" s="17" t="n">
        <f aca="false">Tax!R16</f>
        <v>2383034.83176222</v>
      </c>
      <c r="S10" s="17" t="n">
        <f aca="false">Tax!S16</f>
        <v>2380852.34350413</v>
      </c>
      <c r="T10" s="17" t="n">
        <f aca="false">Tax!T16</f>
        <v>2378356.11771564</v>
      </c>
      <c r="U10" s="17" t="n">
        <f aca="false">Tax!U16</f>
        <v>2375538.54271173</v>
      </c>
      <c r="V10" s="17" t="n">
        <f aca="false">Tax!V16</f>
        <v>2372391.84795582</v>
      </c>
      <c r="W10" s="17" t="n">
        <f aca="false">Tax!W16</f>
        <v>2368908.10085002</v>
      </c>
      <c r="X10" s="17" t="n">
        <f aca="false">Tax!X16</f>
        <v>2521079.20346098</v>
      </c>
      <c r="Y10" s="17" t="n">
        <f aca="false">Tax!Y16</f>
        <v>894413.501567316</v>
      </c>
      <c r="Z10" s="17" t="n">
        <f aca="false">Tax!Z16</f>
        <v>861039.7572077</v>
      </c>
      <c r="AA10" s="17" t="n">
        <f aca="false">Tax!AA16</f>
        <v>827254.848032847</v>
      </c>
      <c r="AB10" s="17" t="n">
        <f aca="false">Tax!AB16</f>
        <v>793049.269196092</v>
      </c>
      <c r="AC10" s="17" t="n">
        <f aca="false">Tax!AC16</f>
        <v>758413.332161588</v>
      </c>
      <c r="AD10" s="17" t="n">
        <f aca="false">Tax!AD16</f>
        <v>723337.160998487</v>
      </c>
      <c r="AE10" s="17" t="n">
        <f aca="false">Tax!AE16</f>
        <v>687810.688601156</v>
      </c>
      <c r="AF10" s="17" t="n">
        <f aca="false">Tax!AF16</f>
        <v>651823.652833964</v>
      </c>
      <c r="AG10" s="17" t="n">
        <f aca="false">Tax!AG16</f>
        <v>615365.592599125</v>
      </c>
      <c r="AH10" s="17" t="n">
        <f aca="false">Tax!AH16</f>
        <v>578425.843826046</v>
      </c>
      <c r="AI10" s="17" t="n">
        <f aca="false">Tax!AI16</f>
        <v>540993.535380632</v>
      </c>
      <c r="AJ10" s="17" t="n">
        <f aca="false">Tax!AJ16</f>
        <v>503057.584892918</v>
      </c>
      <c r="AK10" s="17" t="n">
        <f aca="false">Tax!AK16</f>
        <v>464606.694501427</v>
      </c>
      <c r="AL10" s="17" t="n">
        <f aca="false">Tax!AL16</f>
        <v>425629.346512553</v>
      </c>
      <c r="AM10" s="17" t="n">
        <f aca="false">Tax!AM16</f>
        <v>386113.798973296</v>
      </c>
    </row>
    <row r="11" customFormat="false" ht="15" hidden="false" customHeight="true" outlineLevel="0" collapsed="false">
      <c r="A11" s="8" t="s">
        <v>425</v>
      </c>
      <c r="B11" s="17" t="n">
        <f aca="false">ConCost!B28</f>
        <v>27520000</v>
      </c>
      <c r="C11" s="10" t="s">
        <v>29</v>
      </c>
    </row>
    <row r="13" customFormat="false" ht="15" hidden="false" customHeight="true" outlineLevel="0" collapsed="false">
      <c r="A13" s="57" t="s">
        <v>426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</row>
    <row r="14" customFormat="false" ht="15" hidden="false" customHeight="true" outlineLevel="0" collapsed="false">
      <c r="A14" s="8" t="s">
        <v>427</v>
      </c>
      <c r="C14" s="10" t="s">
        <v>29</v>
      </c>
      <c r="D14" s="44" t="n">
        <f aca="false">-B7</f>
        <v>-31121039.6479994</v>
      </c>
      <c r="E14" s="64" t="n">
        <f aca="false">E9</f>
        <v>10484409.3</v>
      </c>
      <c r="F14" s="64" t="n">
        <f aca="false">F9</f>
        <v>3466868.275525</v>
      </c>
      <c r="G14" s="64" t="n">
        <f aca="false">G9</f>
        <v>2892059.22573285</v>
      </c>
      <c r="H14" s="64" t="n">
        <f aca="false">H9</f>
        <v>2547318.55624623</v>
      </c>
      <c r="I14" s="64" t="n">
        <f aca="false">I9</f>
        <v>2547768.08156124</v>
      </c>
      <c r="J14" s="64" t="n">
        <f aca="false">J9</f>
        <v>2288988.87748861</v>
      </c>
      <c r="K14" s="64" t="n">
        <f aca="false">K9</f>
        <v>2030010.68715559</v>
      </c>
      <c r="L14" s="64" t="n">
        <f aca="false">L9</f>
        <v>2029863.15096779</v>
      </c>
      <c r="M14" s="64" t="n">
        <f aca="false">M9</f>
        <v>2029506.54373006</v>
      </c>
      <c r="N14" s="64" t="n">
        <f aca="false">N9</f>
        <v>1905695.66372582</v>
      </c>
      <c r="O14" s="64" t="n">
        <f aca="false">O9</f>
        <v>1904905.20015363</v>
      </c>
      <c r="P14" s="64" t="n">
        <f aca="false">P9</f>
        <v>1903889.73092062</v>
      </c>
      <c r="Q14" s="64" t="n">
        <f aca="false">Q9</f>
        <v>1902643.72039142</v>
      </c>
      <c r="R14" s="64" t="n">
        <f aca="false">R9</f>
        <v>1901161.51709216</v>
      </c>
      <c r="S14" s="64" t="n">
        <f aca="false">S9</f>
        <v>1899437.35136826</v>
      </c>
      <c r="T14" s="64" t="n">
        <f aca="false">T9</f>
        <v>1878901.33299536</v>
      </c>
      <c r="U14" s="64" t="n">
        <f aca="false">U9</f>
        <v>1876675.44874227</v>
      </c>
      <c r="V14" s="64" t="n">
        <f aca="false">V9</f>
        <v>1874189.5598851</v>
      </c>
      <c r="W14" s="64" t="n">
        <f aca="false">W9</f>
        <v>1871437.39967152</v>
      </c>
      <c r="X14" s="64" t="n">
        <f aca="false">X9</f>
        <v>1991652.57073418</v>
      </c>
      <c r="Y14" s="64" t="n">
        <f aca="false">Y9</f>
        <v>706586.666238179</v>
      </c>
      <c r="Z14" s="64" t="n">
        <f aca="false">Z9</f>
        <v>680221.408194083</v>
      </c>
      <c r="AA14" s="64" t="n">
        <f aca="false">AA9</f>
        <v>653531.329945949</v>
      </c>
      <c r="AB14" s="64" t="n">
        <f aca="false">AB9</f>
        <v>626508.922664912</v>
      </c>
      <c r="AC14" s="64" t="n">
        <f aca="false">AC9</f>
        <v>599146.532407655</v>
      </c>
      <c r="AD14" s="64" t="n">
        <f aca="false">AD9</f>
        <v>571436.357188805</v>
      </c>
      <c r="AE14" s="64" t="n">
        <f aca="false">AE9</f>
        <v>543370.443994913</v>
      </c>
      <c r="AF14" s="64" t="n">
        <f aca="false">AF9</f>
        <v>514940.685738832</v>
      </c>
      <c r="AG14" s="64" t="n">
        <f aca="false">AG9</f>
        <v>486138.818153309</v>
      </c>
      <c r="AH14" s="64" t="n">
        <f aca="false">AH9</f>
        <v>456956.416622577</v>
      </c>
      <c r="AI14" s="64" t="n">
        <f aca="false">AI9</f>
        <v>427384.892950699</v>
      </c>
      <c r="AJ14" s="64" t="n">
        <f aca="false">AJ9</f>
        <v>397415.492065405</v>
      </c>
      <c r="AK14" s="64" t="n">
        <f aca="false">AK9</f>
        <v>367039.288656127</v>
      </c>
      <c r="AL14" s="64" t="n">
        <f aca="false">AL9</f>
        <v>336247.183744917</v>
      </c>
      <c r="AM14" s="64" t="n">
        <f aca="false">AM9</f>
        <v>305029.901188904</v>
      </c>
    </row>
    <row r="15" customFormat="false" ht="15" hidden="false" customHeight="true" outlineLevel="0" collapsed="false">
      <c r="A15" s="8" t="s">
        <v>428</v>
      </c>
      <c r="B15" s="67" t="n">
        <f aca="false">IFERROR(IRR(D14:AM14,0.08),0)</f>
        <v>0.0799999977708902</v>
      </c>
      <c r="C15" s="10" t="s">
        <v>15</v>
      </c>
    </row>
    <row r="16" customFormat="false" ht="15" hidden="false" customHeight="true" outlineLevel="0" collapsed="false">
      <c r="A16" s="8" t="s">
        <v>429</v>
      </c>
      <c r="B16" s="44" t="n">
        <f aca="false">D14+NPV(B8,E14:AM14)</f>
        <v>-0.405020583420992</v>
      </c>
      <c r="C16" s="10" t="s">
        <v>29</v>
      </c>
    </row>
    <row r="18" customFormat="false" ht="15" hidden="false" customHeight="true" outlineLevel="0" collapsed="false">
      <c r="A18" s="57" t="s">
        <v>430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</row>
    <row r="19" customFormat="false" ht="15" hidden="false" customHeight="true" outlineLevel="0" collapsed="false">
      <c r="A19" s="8" t="s">
        <v>431</v>
      </c>
      <c r="C19" s="10" t="s">
        <v>29</v>
      </c>
      <c r="D19" s="44" t="n">
        <f aca="false">-B11</f>
        <v>-27520000</v>
      </c>
      <c r="E19" s="64" t="n">
        <f aca="false">E10</f>
        <v>2542050</v>
      </c>
      <c r="F19" s="64" t="n">
        <f aca="false">F10</f>
        <v>2543320.2475</v>
      </c>
      <c r="G19" s="64" t="n">
        <f aca="false">G10</f>
        <v>2544362.60472513</v>
      </c>
      <c r="H19" s="64" t="n">
        <f aca="false">H10</f>
        <v>2545171.26005852</v>
      </c>
      <c r="I19" s="64" t="n">
        <f aca="false">I10</f>
        <v>2545740.2794446</v>
      </c>
      <c r="J19" s="64" t="n">
        <f aca="false">J10</f>
        <v>2546063.60390963</v>
      </c>
      <c r="K19" s="64" t="n">
        <f aca="false">K10</f>
        <v>2546135.0470324</v>
      </c>
      <c r="L19" s="64" t="n">
        <f aca="false">L10</f>
        <v>2545948.29236429</v>
      </c>
      <c r="M19" s="64" t="n">
        <f aca="false">M10</f>
        <v>2545496.89079755</v>
      </c>
      <c r="N19" s="64" t="n">
        <f aca="false">N10</f>
        <v>2388774.25788078</v>
      </c>
      <c r="O19" s="64" t="n">
        <f aca="false">O10</f>
        <v>2387773.67108055</v>
      </c>
      <c r="P19" s="64" t="n">
        <f aca="false">P10</f>
        <v>2386488.26698812</v>
      </c>
      <c r="Q19" s="64" t="n">
        <f aca="false">Q10</f>
        <v>2384911.03847015</v>
      </c>
      <c r="R19" s="64" t="n">
        <f aca="false">R10</f>
        <v>2383034.83176222</v>
      </c>
      <c r="S19" s="64" t="n">
        <f aca="false">S10</f>
        <v>2380852.34350413</v>
      </c>
      <c r="T19" s="64" t="n">
        <f aca="false">T10</f>
        <v>2378356.11771564</v>
      </c>
      <c r="U19" s="64" t="n">
        <f aca="false">U10</f>
        <v>2375538.54271173</v>
      </c>
      <c r="V19" s="64" t="n">
        <f aca="false">V10</f>
        <v>2372391.84795582</v>
      </c>
      <c r="W19" s="64" t="n">
        <f aca="false">W10</f>
        <v>2368908.10085002</v>
      </c>
      <c r="X19" s="64" t="n">
        <f aca="false">X10</f>
        <v>2521079.20346098</v>
      </c>
      <c r="Y19" s="64" t="n">
        <f aca="false">Y10</f>
        <v>894413.501567316</v>
      </c>
      <c r="Z19" s="64" t="n">
        <f aca="false">Z10</f>
        <v>861039.7572077</v>
      </c>
      <c r="AA19" s="64" t="n">
        <f aca="false">AA10</f>
        <v>827254.848032847</v>
      </c>
      <c r="AB19" s="64" t="n">
        <f aca="false">AB10</f>
        <v>793049.269196092</v>
      </c>
      <c r="AC19" s="64" t="n">
        <f aca="false">AC10</f>
        <v>758413.332161588</v>
      </c>
      <c r="AD19" s="64" t="n">
        <f aca="false">AD10</f>
        <v>723337.160998487</v>
      </c>
      <c r="AE19" s="64" t="n">
        <f aca="false">AE10</f>
        <v>687810.688601156</v>
      </c>
      <c r="AF19" s="64" t="n">
        <f aca="false">AF10</f>
        <v>651823.652833964</v>
      </c>
      <c r="AG19" s="64" t="n">
        <f aca="false">AG10</f>
        <v>615365.592599125</v>
      </c>
      <c r="AH19" s="64" t="n">
        <f aca="false">AH10</f>
        <v>578425.843826046</v>
      </c>
      <c r="AI19" s="64" t="n">
        <f aca="false">AI10</f>
        <v>540993.535380632</v>
      </c>
      <c r="AJ19" s="64" t="n">
        <f aca="false">AJ10</f>
        <v>503057.584892918</v>
      </c>
      <c r="AK19" s="64" t="n">
        <f aca="false">AK10</f>
        <v>464606.694501427</v>
      </c>
      <c r="AL19" s="64" t="n">
        <f aca="false">AL10</f>
        <v>425629.346512553</v>
      </c>
      <c r="AM19" s="64" t="n">
        <f aca="false">AM10</f>
        <v>386113.798973296</v>
      </c>
    </row>
    <row r="20" customFormat="false" ht="15" hidden="false" customHeight="true" outlineLevel="0" collapsed="false">
      <c r="A20" s="8" t="s">
        <v>37</v>
      </c>
      <c r="B20" s="40" t="n">
        <f aca="false">IFERROR(IRR(D19:AM19,0.08),0)</f>
        <v>0.0718534867215575</v>
      </c>
      <c r="C20" s="10" t="s">
        <v>15</v>
      </c>
    </row>
    <row r="22" customFormat="false" ht="15" hidden="false" customHeight="true" outlineLevel="0" collapsed="false">
      <c r="A22" s="57" t="s">
        <v>432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</row>
    <row r="23" customFormat="false" ht="15" hidden="false" customHeight="true" outlineLevel="0" collapsed="false">
      <c r="A23" s="8" t="s">
        <v>433</v>
      </c>
      <c r="B23" s="64" t="n">
        <f aca="false">SUM(E9:AM9)</f>
        <v>58899336.5338429</v>
      </c>
      <c r="C23" s="10" t="s">
        <v>29</v>
      </c>
    </row>
    <row r="24" customFormat="false" ht="15" hidden="false" customHeight="true" outlineLevel="0" collapsed="false">
      <c r="A24" s="8" t="s">
        <v>39</v>
      </c>
      <c r="B24" s="69" t="n">
        <f aca="false">IF(B7=0,0,B23/B7)</f>
        <v>1.89258897517677</v>
      </c>
      <c r="C24" s="10" t="s">
        <v>9</v>
      </c>
    </row>
    <row r="25" customFormat="false" ht="15" hidden="false" customHeight="true" outlineLevel="0" collapsed="false">
      <c r="A25" s="8" t="s">
        <v>434</v>
      </c>
      <c r="C25" s="10" t="s">
        <v>29</v>
      </c>
      <c r="E25" s="64" t="n">
        <f aca="false">E9-B7</f>
        <v>-20636630.3479994</v>
      </c>
      <c r="F25" s="64" t="n">
        <f aca="false">E25+F9</f>
        <v>-17169762.0724744</v>
      </c>
      <c r="G25" s="64" t="n">
        <f aca="false">F25+G9</f>
        <v>-14277702.8467416</v>
      </c>
      <c r="H25" s="64" t="n">
        <f aca="false">G25+H9</f>
        <v>-11730384.2904953</v>
      </c>
      <c r="I25" s="64" t="n">
        <f aca="false">H25+I9</f>
        <v>-9182616.20893411</v>
      </c>
      <c r="J25" s="64" t="n">
        <f aca="false">I25+J9</f>
        <v>-6893627.3314455</v>
      </c>
      <c r="K25" s="64" t="n">
        <f aca="false">J25+K9</f>
        <v>-4863616.64428991</v>
      </c>
      <c r="L25" s="64" t="n">
        <f aca="false">K25+L9</f>
        <v>-2833753.49332212</v>
      </c>
      <c r="M25" s="64" t="n">
        <f aca="false">L25+M9</f>
        <v>-804246.949592058</v>
      </c>
      <c r="N25" s="64" t="n">
        <f aca="false">M25+N9</f>
        <v>1101448.71413376</v>
      </c>
      <c r="O25" s="64" t="n">
        <f aca="false">N25+O9</f>
        <v>3006353.91428739</v>
      </c>
      <c r="P25" s="64" t="n">
        <f aca="false">O25+P9</f>
        <v>4910243.64520801</v>
      </c>
      <c r="Q25" s="64" t="n">
        <f aca="false">P25+Q9</f>
        <v>6812887.36559942</v>
      </c>
      <c r="R25" s="64" t="n">
        <f aca="false">Q25+R9</f>
        <v>8714048.88269158</v>
      </c>
      <c r="S25" s="64" t="n">
        <f aca="false">R25+S9</f>
        <v>10613486.2340598</v>
      </c>
      <c r="T25" s="64" t="n">
        <f aca="false">S25+T9</f>
        <v>12492387.5670552</v>
      </c>
      <c r="U25" s="64" t="n">
        <f aca="false">T25+U9</f>
        <v>14369063.0157975</v>
      </c>
      <c r="V25" s="64" t="n">
        <f aca="false">U25+V9</f>
        <v>16243252.5756826</v>
      </c>
      <c r="W25" s="64" t="n">
        <f aca="false">V25+W9</f>
        <v>18114689.9753541</v>
      </c>
      <c r="X25" s="64" t="n">
        <f aca="false">W25+X9</f>
        <v>20106342.5460883</v>
      </c>
      <c r="Y25" s="64" t="n">
        <f aca="false">X25+Y9</f>
        <v>20812929.2123264</v>
      </c>
      <c r="Z25" s="64" t="n">
        <f aca="false">Y25+Z9</f>
        <v>21493150.6205205</v>
      </c>
      <c r="AA25" s="64" t="n">
        <f aca="false">Z25+AA9</f>
        <v>22146681.9504665</v>
      </c>
      <c r="AB25" s="64" t="n">
        <f aca="false">AA25+AB9</f>
        <v>22773190.8731314</v>
      </c>
      <c r="AC25" s="64" t="n">
        <f aca="false">AB25+AC9</f>
        <v>23372337.405539</v>
      </c>
      <c r="AD25" s="64" t="n">
        <f aca="false">AC25+AD9</f>
        <v>23943773.7627278</v>
      </c>
      <c r="AE25" s="64" t="n">
        <f aca="false">AD25+AE9</f>
        <v>24487144.2067228</v>
      </c>
      <c r="AF25" s="64" t="n">
        <f aca="false">AE25+AF9</f>
        <v>25002084.8924616</v>
      </c>
      <c r="AG25" s="64" t="n">
        <f aca="false">AF25+AG9</f>
        <v>25488223.7106149</v>
      </c>
      <c r="AH25" s="64" t="n">
        <f aca="false">AG25+AH9</f>
        <v>25945180.1272375</v>
      </c>
      <c r="AI25" s="64" t="n">
        <f aca="false">AH25+AI9</f>
        <v>26372565.0201882</v>
      </c>
      <c r="AJ25" s="64" t="n">
        <f aca="false">AI25+AJ9</f>
        <v>26769980.5122536</v>
      </c>
      <c r="AK25" s="64" t="n">
        <f aca="false">AJ25+AK9</f>
        <v>27137019.8009097</v>
      </c>
      <c r="AL25" s="64" t="n">
        <f aca="false">AK25+AL9</f>
        <v>27473266.9846546</v>
      </c>
      <c r="AM25" s="64" t="n">
        <f aca="false">AL25+AM9</f>
        <v>27778296.8858435</v>
      </c>
    </row>
    <row r="26" customFormat="false" ht="15" hidden="false" customHeight="true" outlineLevel="0" collapsed="false">
      <c r="A26" s="8" t="s">
        <v>435</v>
      </c>
      <c r="B26" s="59" t="n">
        <f aca="false">IFERROR(MATCH(TRUE(),INDEX(E25:AM25&gt;=0,0),0),"NA")</f>
        <v>10</v>
      </c>
      <c r="C26" s="10" t="s">
        <v>42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50"/>
    <col collapsed="false" customWidth="true" hidden="false" outlineLevel="0" max="2" min="2" style="1" width="18"/>
    <col collapsed="false" customWidth="true" hidden="false" outlineLevel="0" max="3" min="3" style="1" width="12"/>
    <col collapsed="false" customWidth="true" hidden="false" outlineLevel="0" max="4" min="4" style="1" width="50"/>
  </cols>
  <sheetData>
    <row r="1" customFormat="false" ht="17.25" hidden="false" customHeight="true" outlineLevel="0" collapsed="false">
      <c r="A1" s="25" t="s">
        <v>436</v>
      </c>
      <c r="B1" s="3"/>
      <c r="C1" s="3"/>
      <c r="D1" s="3"/>
      <c r="E1" s="3"/>
    </row>
    <row r="3" customFormat="false" ht="15" hidden="false" customHeight="true" outlineLevel="0" collapsed="false">
      <c r="A3" s="47" t="s">
        <v>437</v>
      </c>
      <c r="B3" s="47" t="s">
        <v>180</v>
      </c>
      <c r="C3" s="47" t="s">
        <v>91</v>
      </c>
      <c r="D3" s="47" t="s">
        <v>181</v>
      </c>
    </row>
    <row r="4" customFormat="false" ht="15" hidden="false" customHeight="true" outlineLevel="0" collapsed="false">
      <c r="A4" s="8" t="s">
        <v>428</v>
      </c>
      <c r="B4" s="50" t="n">
        <f aca="false">Equity!B15</f>
        <v>0.0799999977708902</v>
      </c>
      <c r="C4" s="51" t="s">
        <v>15</v>
      </c>
      <c r="D4" s="8" t="s">
        <v>438</v>
      </c>
    </row>
    <row r="5" customFormat="false" ht="15" hidden="false" customHeight="true" outlineLevel="0" collapsed="false">
      <c r="A5" s="8" t="s">
        <v>18</v>
      </c>
      <c r="B5" s="50" t="n">
        <f aca="false">Equity!B8</f>
        <v>0.08</v>
      </c>
      <c r="C5" s="51" t="s">
        <v>15</v>
      </c>
      <c r="D5" s="8" t="s">
        <v>189</v>
      </c>
    </row>
    <row r="6" customFormat="false" ht="15" hidden="false" customHeight="true" outlineLevel="0" collapsed="false">
      <c r="A6" s="8" t="s">
        <v>429</v>
      </c>
      <c r="B6" s="70" t="n">
        <f aca="false">Equity!B16</f>
        <v>-0.405020583420992</v>
      </c>
      <c r="C6" s="51" t="s">
        <v>29</v>
      </c>
      <c r="D6" s="8" t="s">
        <v>439</v>
      </c>
    </row>
    <row r="7" customFormat="false" ht="15" hidden="false" customHeight="true" outlineLevel="0" collapsed="false">
      <c r="A7" s="8" t="s">
        <v>37</v>
      </c>
      <c r="B7" s="50" t="n">
        <f aca="false">Equity!B20</f>
        <v>0.0718534867215575</v>
      </c>
      <c r="C7" s="51" t="s">
        <v>15</v>
      </c>
      <c r="D7" s="8" t="s">
        <v>440</v>
      </c>
    </row>
    <row r="8" customFormat="false" ht="15" hidden="false" customHeight="true" outlineLevel="0" collapsed="false">
      <c r="A8" s="8" t="s">
        <v>39</v>
      </c>
      <c r="B8" s="71" t="n">
        <f aca="false">Equity!B24</f>
        <v>1.89258897517677</v>
      </c>
      <c r="C8" s="51" t="s">
        <v>9</v>
      </c>
      <c r="D8" s="8" t="s">
        <v>441</v>
      </c>
    </row>
    <row r="9" customFormat="false" ht="15" hidden="false" customHeight="true" outlineLevel="0" collapsed="false">
      <c r="A9" s="8" t="s">
        <v>442</v>
      </c>
      <c r="B9" s="22" t="n">
        <f aca="false">Equity!B26</f>
        <v>10</v>
      </c>
      <c r="C9" s="51" t="s">
        <v>42</v>
      </c>
      <c r="D9" s="8" t="s">
        <v>443</v>
      </c>
    </row>
    <row r="10" customFormat="false" ht="15" hidden="false" customHeight="true" outlineLevel="0" collapsed="false">
      <c r="A10" s="8" t="s">
        <v>444</v>
      </c>
      <c r="B10" s="70" t="n">
        <f aca="false">Equity!B7</f>
        <v>31121039.6479994</v>
      </c>
      <c r="C10" s="51" t="s">
        <v>29</v>
      </c>
      <c r="D10" s="8" t="s">
        <v>445</v>
      </c>
    </row>
    <row r="11" customFormat="false" ht="15" hidden="false" customHeight="true" outlineLevel="0" collapsed="false">
      <c r="A11" s="8" t="s">
        <v>446</v>
      </c>
      <c r="B11" s="70" t="n">
        <f aca="false">Equity!B23</f>
        <v>58899336.5338429</v>
      </c>
      <c r="C11" s="51" t="s">
        <v>29</v>
      </c>
      <c r="D11" s="8" t="s">
        <v>447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6CC66"/>
    <pageSetUpPr fitToPage="false"/>
  </sheetPr>
  <dimension ref="A1:AM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5" topLeftCell="E6" activePane="bottomRight" state="frozen"/>
      <selection pane="topLeft" activeCell="A1" activeCellId="0" sqref="A1"/>
      <selection pane="topRight" activeCell="E1" activeCellId="0" sqref="E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42"/>
    <col collapsed="false" customWidth="true" hidden="false" outlineLevel="0" max="2" min="2" style="1" width="14"/>
    <col collapsed="false" customWidth="true" hidden="false" outlineLevel="0" max="3" min="3" style="1" width="12"/>
    <col collapsed="false" customWidth="true" hidden="false" outlineLevel="0" max="4" min="4" style="1" width="14"/>
    <col collapsed="false" customWidth="true" hidden="false" outlineLevel="0" max="39" min="5" style="1" width="12"/>
  </cols>
  <sheetData>
    <row r="1" customFormat="false" ht="15" hidden="false" customHeight="true" outlineLevel="0" collapsed="false">
      <c r="A1" s="52" t="s">
        <v>448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customFormat="false" ht="15" hidden="false" customHeight="true" outlineLevel="0" collapsed="false">
      <c r="A2" s="4" t="s">
        <v>205</v>
      </c>
      <c r="C2" s="8" t="s">
        <v>206</v>
      </c>
      <c r="E2" s="53" t="n">
        <v>46023</v>
      </c>
      <c r="F2" s="53" t="n">
        <v>46388</v>
      </c>
      <c r="G2" s="53" t="n">
        <v>46753</v>
      </c>
      <c r="H2" s="53" t="n">
        <v>47119</v>
      </c>
      <c r="I2" s="53" t="n">
        <v>47484</v>
      </c>
      <c r="J2" s="53" t="n">
        <v>47849</v>
      </c>
      <c r="K2" s="53" t="n">
        <v>48214</v>
      </c>
      <c r="L2" s="53" t="n">
        <v>48580</v>
      </c>
      <c r="M2" s="53" t="n">
        <v>48945</v>
      </c>
      <c r="N2" s="53" t="n">
        <v>49310</v>
      </c>
      <c r="O2" s="53" t="n">
        <v>49675</v>
      </c>
      <c r="P2" s="53" t="n">
        <v>50041</v>
      </c>
      <c r="Q2" s="53" t="n">
        <v>50406</v>
      </c>
      <c r="R2" s="53" t="n">
        <v>50771</v>
      </c>
      <c r="S2" s="53" t="n">
        <v>51136</v>
      </c>
      <c r="T2" s="53" t="n">
        <v>51502</v>
      </c>
      <c r="U2" s="53" t="n">
        <v>51867</v>
      </c>
      <c r="V2" s="53" t="n">
        <v>52232</v>
      </c>
      <c r="W2" s="53" t="n">
        <v>52597</v>
      </c>
      <c r="X2" s="53" t="n">
        <v>52963</v>
      </c>
      <c r="Y2" s="53" t="n">
        <v>53328</v>
      </c>
      <c r="Z2" s="53" t="n">
        <v>53693</v>
      </c>
      <c r="AA2" s="53" t="n">
        <v>54058</v>
      </c>
      <c r="AB2" s="53" t="n">
        <v>54424</v>
      </c>
      <c r="AC2" s="53" t="n">
        <v>54789</v>
      </c>
      <c r="AD2" s="53" t="n">
        <v>55154</v>
      </c>
      <c r="AE2" s="53" t="n">
        <v>55519</v>
      </c>
      <c r="AF2" s="53" t="n">
        <v>55885</v>
      </c>
      <c r="AG2" s="53" t="n">
        <v>56250</v>
      </c>
      <c r="AH2" s="53" t="n">
        <v>56615</v>
      </c>
      <c r="AI2" s="53" t="n">
        <v>56980</v>
      </c>
      <c r="AJ2" s="53" t="n">
        <v>57346</v>
      </c>
      <c r="AK2" s="53" t="n">
        <v>57711</v>
      </c>
      <c r="AL2" s="53" t="n">
        <v>58076</v>
      </c>
      <c r="AM2" s="53" t="n">
        <v>58441</v>
      </c>
    </row>
    <row r="3" customFormat="false" ht="15" hidden="false" customHeight="true" outlineLevel="0" collapsed="false">
      <c r="A3" s="4" t="s">
        <v>207</v>
      </c>
      <c r="C3" s="8" t="s">
        <v>206</v>
      </c>
      <c r="E3" s="53" t="n">
        <v>46387</v>
      </c>
      <c r="F3" s="53" t="n">
        <v>46752</v>
      </c>
      <c r="G3" s="53" t="n">
        <v>47118</v>
      </c>
      <c r="H3" s="53" t="n">
        <v>47483</v>
      </c>
      <c r="I3" s="53" t="n">
        <v>47848</v>
      </c>
      <c r="J3" s="53" t="n">
        <v>48213</v>
      </c>
      <c r="K3" s="53" t="n">
        <v>48579</v>
      </c>
      <c r="L3" s="53" t="n">
        <v>48944</v>
      </c>
      <c r="M3" s="53" t="n">
        <v>49309</v>
      </c>
      <c r="N3" s="53" t="n">
        <v>49674</v>
      </c>
      <c r="O3" s="53" t="n">
        <v>50040</v>
      </c>
      <c r="P3" s="53" t="n">
        <v>50405</v>
      </c>
      <c r="Q3" s="53" t="n">
        <v>50770</v>
      </c>
      <c r="R3" s="53" t="n">
        <v>51135</v>
      </c>
      <c r="S3" s="53" t="n">
        <v>51501</v>
      </c>
      <c r="T3" s="53" t="n">
        <v>51866</v>
      </c>
      <c r="U3" s="53" t="n">
        <v>52231</v>
      </c>
      <c r="V3" s="53" t="n">
        <v>52596</v>
      </c>
      <c r="W3" s="53" t="n">
        <v>52962</v>
      </c>
      <c r="X3" s="53" t="n">
        <v>53327</v>
      </c>
      <c r="Y3" s="53" t="n">
        <v>53692</v>
      </c>
      <c r="Z3" s="53" t="n">
        <v>54057</v>
      </c>
      <c r="AA3" s="53" t="n">
        <v>54423</v>
      </c>
      <c r="AB3" s="53" t="n">
        <v>54788</v>
      </c>
      <c r="AC3" s="53" t="n">
        <v>55153</v>
      </c>
      <c r="AD3" s="53" t="n">
        <v>55518</v>
      </c>
      <c r="AE3" s="53" t="n">
        <v>55884</v>
      </c>
      <c r="AF3" s="53" t="n">
        <v>56249</v>
      </c>
      <c r="AG3" s="53" t="n">
        <v>56614</v>
      </c>
      <c r="AH3" s="53" t="n">
        <v>56979</v>
      </c>
      <c r="AI3" s="53" t="n">
        <v>57345</v>
      </c>
      <c r="AJ3" s="53" t="n">
        <v>57710</v>
      </c>
      <c r="AK3" s="53" t="n">
        <v>58075</v>
      </c>
      <c r="AL3" s="53" t="n">
        <v>58440</v>
      </c>
      <c r="AM3" s="53" t="n">
        <v>58806</v>
      </c>
    </row>
    <row r="4" customFormat="false" ht="15" hidden="false" customHeight="true" outlineLevel="0" collapsed="false">
      <c r="A4" s="4" t="s">
        <v>208</v>
      </c>
      <c r="C4" s="8" t="s">
        <v>209</v>
      </c>
      <c r="E4" s="54" t="n">
        <v>1</v>
      </c>
      <c r="F4" s="54" t="n">
        <v>2</v>
      </c>
      <c r="G4" s="54" t="n">
        <v>3</v>
      </c>
      <c r="H4" s="54" t="n">
        <v>4</v>
      </c>
      <c r="I4" s="54" t="n">
        <v>5</v>
      </c>
      <c r="J4" s="54" t="n">
        <v>6</v>
      </c>
      <c r="K4" s="54" t="n">
        <v>7</v>
      </c>
      <c r="L4" s="54" t="n">
        <v>8</v>
      </c>
      <c r="M4" s="54" t="n">
        <v>9</v>
      </c>
      <c r="N4" s="54" t="n">
        <v>10</v>
      </c>
      <c r="O4" s="54" t="n">
        <v>11</v>
      </c>
      <c r="P4" s="54" t="n">
        <v>12</v>
      </c>
      <c r="Q4" s="54" t="n">
        <v>13</v>
      </c>
      <c r="R4" s="54" t="n">
        <v>14</v>
      </c>
      <c r="S4" s="54" t="n">
        <v>15</v>
      </c>
      <c r="T4" s="54" t="n">
        <v>16</v>
      </c>
      <c r="U4" s="54" t="n">
        <v>17</v>
      </c>
      <c r="V4" s="54" t="n">
        <v>18</v>
      </c>
      <c r="W4" s="54" t="n">
        <v>19</v>
      </c>
      <c r="X4" s="54" t="n">
        <v>20</v>
      </c>
      <c r="Y4" s="54" t="n">
        <v>21</v>
      </c>
      <c r="Z4" s="54" t="n">
        <v>22</v>
      </c>
      <c r="AA4" s="54" t="n">
        <v>23</v>
      </c>
      <c r="AB4" s="54" t="n">
        <v>24</v>
      </c>
      <c r="AC4" s="54" t="n">
        <v>25</v>
      </c>
      <c r="AD4" s="54" t="n">
        <v>26</v>
      </c>
      <c r="AE4" s="54" t="n">
        <v>27</v>
      </c>
      <c r="AF4" s="54" t="n">
        <v>28</v>
      </c>
      <c r="AG4" s="54" t="n">
        <v>29</v>
      </c>
      <c r="AH4" s="54" t="n">
        <v>30</v>
      </c>
      <c r="AI4" s="54" t="n">
        <v>31</v>
      </c>
      <c r="AJ4" s="54" t="n">
        <v>32</v>
      </c>
      <c r="AK4" s="54" t="n">
        <v>33</v>
      </c>
      <c r="AL4" s="54" t="n">
        <v>34</v>
      </c>
      <c r="AM4" s="54" t="n">
        <v>35</v>
      </c>
    </row>
    <row r="5" customFormat="false" ht="15" hidden="false" customHeight="true" outlineLevel="0" collapsed="false">
      <c r="A5" s="55" t="s">
        <v>210</v>
      </c>
      <c r="B5" s="55" t="s">
        <v>90</v>
      </c>
      <c r="C5" s="55" t="s">
        <v>91</v>
      </c>
      <c r="D5" s="55" t="s">
        <v>211</v>
      </c>
      <c r="E5" s="56" t="n">
        <v>2026</v>
      </c>
      <c r="F5" s="56" t="n">
        <v>2027</v>
      </c>
      <c r="G5" s="56" t="n">
        <v>2028</v>
      </c>
      <c r="H5" s="56" t="n">
        <v>2029</v>
      </c>
      <c r="I5" s="56" t="n">
        <v>2030</v>
      </c>
      <c r="J5" s="56" t="n">
        <v>2031</v>
      </c>
      <c r="K5" s="56" t="n">
        <v>2032</v>
      </c>
      <c r="L5" s="56" t="n">
        <v>2033</v>
      </c>
      <c r="M5" s="56" t="n">
        <v>2034</v>
      </c>
      <c r="N5" s="56" t="n">
        <v>2035</v>
      </c>
      <c r="O5" s="56" t="n">
        <v>2036</v>
      </c>
      <c r="P5" s="56" t="n">
        <v>2037</v>
      </c>
      <c r="Q5" s="56" t="n">
        <v>2038</v>
      </c>
      <c r="R5" s="56" t="n">
        <v>2039</v>
      </c>
      <c r="S5" s="56" t="n">
        <v>2040</v>
      </c>
      <c r="T5" s="56" t="n">
        <v>2041</v>
      </c>
      <c r="U5" s="56" t="n">
        <v>2042</v>
      </c>
      <c r="V5" s="56" t="n">
        <v>2043</v>
      </c>
      <c r="W5" s="56" t="n">
        <v>2044</v>
      </c>
      <c r="X5" s="56" t="n">
        <v>2045</v>
      </c>
      <c r="Y5" s="56" t="n">
        <v>2046</v>
      </c>
      <c r="Z5" s="56" t="n">
        <v>2047</v>
      </c>
      <c r="AA5" s="56" t="n">
        <v>2048</v>
      </c>
      <c r="AB5" s="56" t="n">
        <v>2049</v>
      </c>
      <c r="AC5" s="56" t="n">
        <v>2050</v>
      </c>
      <c r="AD5" s="56" t="n">
        <v>2051</v>
      </c>
      <c r="AE5" s="56" t="n">
        <v>2052</v>
      </c>
      <c r="AF5" s="56" t="n">
        <v>2053</v>
      </c>
      <c r="AG5" s="56" t="n">
        <v>2054</v>
      </c>
      <c r="AH5" s="56" t="n">
        <v>2055</v>
      </c>
      <c r="AI5" s="56" t="n">
        <v>2056</v>
      </c>
      <c r="AJ5" s="56" t="n">
        <v>2057</v>
      </c>
      <c r="AK5" s="56" t="n">
        <v>2058</v>
      </c>
      <c r="AL5" s="56" t="n">
        <v>2059</v>
      </c>
      <c r="AM5" s="56" t="n">
        <v>2060</v>
      </c>
    </row>
    <row r="6" customFormat="false" ht="15" hidden="false" customHeight="true" outlineLevel="0" collapsed="false">
      <c r="A6" s="57" t="s">
        <v>449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</row>
    <row r="7" customFormat="false" ht="15" hidden="false" customHeight="true" outlineLevel="0" collapsed="false">
      <c r="A7" s="8" t="s">
        <v>407</v>
      </c>
      <c r="C7" s="10" t="s">
        <v>29</v>
      </c>
      <c r="D7" s="59" t="n">
        <f aca="false">SUM(E7:AM7)</f>
        <v>100999434.654067</v>
      </c>
      <c r="E7" s="17" t="n">
        <f aca="false">Ops!E38</f>
        <v>3400050</v>
      </c>
      <c r="F7" s="17" t="n">
        <f aca="false">Ops!F38</f>
        <v>3416880.2475</v>
      </c>
      <c r="G7" s="17" t="n">
        <f aca="false">Ops!G38</f>
        <v>3433793.80472513</v>
      </c>
      <c r="H7" s="17" t="n">
        <f aca="false">Ops!H38</f>
        <v>3450791.08405852</v>
      </c>
      <c r="I7" s="17" t="n">
        <f aca="false">Ops!I38</f>
        <v>3467872.4999246</v>
      </c>
      <c r="J7" s="17" t="n">
        <f aca="false">Ops!J38</f>
        <v>3485038.46879923</v>
      </c>
      <c r="K7" s="17" t="n">
        <f aca="false">Ops!K38</f>
        <v>3502289.40921979</v>
      </c>
      <c r="L7" s="17" t="n">
        <f aca="false">Ops!L38</f>
        <v>3519625.74179543</v>
      </c>
      <c r="M7" s="17" t="n">
        <f aca="false">Ops!M38</f>
        <v>3537047.88921731</v>
      </c>
      <c r="N7" s="17" t="n">
        <f aca="false">Ops!N38</f>
        <v>3554556.27626894</v>
      </c>
      <c r="O7" s="17" t="n">
        <f aca="false">Ops!O38</f>
        <v>3572151.32983647</v>
      </c>
      <c r="P7" s="17" t="n">
        <f aca="false">Ops!P38</f>
        <v>3589833.47891916</v>
      </c>
      <c r="Q7" s="17" t="n">
        <f aca="false">Ops!Q38</f>
        <v>3607603.15463981</v>
      </c>
      <c r="R7" s="17" t="n">
        <f aca="false">Ops!R38</f>
        <v>3625460.79025528</v>
      </c>
      <c r="S7" s="17" t="n">
        <f aca="false">Ops!S38</f>
        <v>3643406.82116704</v>
      </c>
      <c r="T7" s="17" t="n">
        <f aca="false">Ops!T38</f>
        <v>3661441.68493182</v>
      </c>
      <c r="U7" s="17" t="n">
        <f aca="false">Ops!U38</f>
        <v>3679565.82127223</v>
      </c>
      <c r="V7" s="17" t="n">
        <f aca="false">Ops!V38</f>
        <v>3697779.67208753</v>
      </c>
      <c r="W7" s="17" t="n">
        <f aca="false">Ops!W38</f>
        <v>3716083.68146436</v>
      </c>
      <c r="X7" s="17" t="n">
        <f aca="false">Ops!X38</f>
        <v>3734478.29568761</v>
      </c>
      <c r="Y7" s="17" t="n">
        <f aca="false">Ops!Y38</f>
        <v>2050480.57563848</v>
      </c>
      <c r="Z7" s="17" t="n">
        <f aca="false">Ops!Z38</f>
        <v>2040228.17276028</v>
      </c>
      <c r="AA7" s="17" t="n">
        <f aca="false">Ops!AA38</f>
        <v>2030027.03189648</v>
      </c>
      <c r="AB7" s="17" t="n">
        <f aca="false">Ops!AB38</f>
        <v>2019876.896737</v>
      </c>
      <c r="AC7" s="17" t="n">
        <f aca="false">Ops!AC38</f>
        <v>2009777.51225331</v>
      </c>
      <c r="AD7" s="17" t="n">
        <f aca="false">Ops!AD38</f>
        <v>1999728.62469205</v>
      </c>
      <c r="AE7" s="17" t="n">
        <f aca="false">Ops!AE38</f>
        <v>1989729.98156859</v>
      </c>
      <c r="AF7" s="17" t="n">
        <f aca="false">Ops!AF38</f>
        <v>1979781.33166074</v>
      </c>
      <c r="AG7" s="17" t="n">
        <f aca="false">Ops!AG38</f>
        <v>1969882.42500244</v>
      </c>
      <c r="AH7" s="17" t="n">
        <f aca="false">Ops!AH38</f>
        <v>1960033.01287743</v>
      </c>
      <c r="AI7" s="17" t="n">
        <f aca="false">Ops!AI38</f>
        <v>1950232.84781304</v>
      </c>
      <c r="AJ7" s="17" t="n">
        <f aca="false">Ops!AJ38</f>
        <v>1940481.68357398</v>
      </c>
      <c r="AK7" s="17" t="n">
        <f aca="false">Ops!AK38</f>
        <v>1930779.27515611</v>
      </c>
      <c r="AL7" s="17" t="n">
        <f aca="false">Ops!AL38</f>
        <v>1921125.37878033</v>
      </c>
      <c r="AM7" s="17" t="n">
        <f aca="false">Ops!AM38</f>
        <v>1911519.75188642</v>
      </c>
    </row>
    <row r="8" customFormat="false" ht="15" hidden="false" customHeight="true" outlineLevel="0" collapsed="false">
      <c r="A8" s="8" t="s">
        <v>408</v>
      </c>
      <c r="C8" s="10" t="s">
        <v>29</v>
      </c>
      <c r="D8" s="59" t="n">
        <f aca="false">SUM(E8:AM8)</f>
        <v>-42055703.5985695</v>
      </c>
      <c r="E8" s="17" t="n">
        <f aca="false">-OpEx!E41</f>
        <v>-858000</v>
      </c>
      <c r="F8" s="17" t="n">
        <f aca="false">-OpEx!F41</f>
        <v>-873560</v>
      </c>
      <c r="G8" s="17" t="n">
        <f aca="false">-OpEx!G41</f>
        <v>-889431.2</v>
      </c>
      <c r="H8" s="17" t="n">
        <f aca="false">-OpEx!H41</f>
        <v>-905619.824</v>
      </c>
      <c r="I8" s="17" t="n">
        <f aca="false">-OpEx!I41</f>
        <v>-922132.22048</v>
      </c>
      <c r="J8" s="17" t="n">
        <f aca="false">-OpEx!J41</f>
        <v>-938974.8648896</v>
      </c>
      <c r="K8" s="17" t="n">
        <f aca="false">-OpEx!K41</f>
        <v>-956154.362187392</v>
      </c>
      <c r="L8" s="17" t="n">
        <f aca="false">-OpEx!L41</f>
        <v>-973677.44943114</v>
      </c>
      <c r="M8" s="17" t="n">
        <f aca="false">-OpEx!M41</f>
        <v>-991550.998419763</v>
      </c>
      <c r="N8" s="17" t="n">
        <f aca="false">-OpEx!N41</f>
        <v>-1165782.01838816</v>
      </c>
      <c r="O8" s="17" t="n">
        <f aca="false">-OpEx!O41</f>
        <v>-1184377.65875592</v>
      </c>
      <c r="P8" s="17" t="n">
        <f aca="false">-OpEx!P41</f>
        <v>-1203345.21193104</v>
      </c>
      <c r="Q8" s="17" t="n">
        <f aca="false">-OpEx!Q41</f>
        <v>-1222692.11616966</v>
      </c>
      <c r="R8" s="17" t="n">
        <f aca="false">-OpEx!R41</f>
        <v>-1242425.95849305</v>
      </c>
      <c r="S8" s="17" t="n">
        <f aca="false">-OpEx!S41</f>
        <v>-1262554.47766291</v>
      </c>
      <c r="T8" s="17" t="n">
        <f aca="false">-OpEx!T41</f>
        <v>-1283085.56721617</v>
      </c>
      <c r="U8" s="17" t="n">
        <f aca="false">-OpEx!U41</f>
        <v>-1304027.2785605</v>
      </c>
      <c r="V8" s="17" t="n">
        <f aca="false">-OpEx!V41</f>
        <v>-1325387.82413171</v>
      </c>
      <c r="W8" s="17" t="n">
        <f aca="false">-OpEx!W41</f>
        <v>-1347175.58061434</v>
      </c>
      <c r="X8" s="17" t="n">
        <f aca="false">-OpEx!X41</f>
        <v>-1213399.09222663</v>
      </c>
      <c r="Y8" s="17" t="n">
        <f aca="false">-OpEx!Y41</f>
        <v>-1156067.07407116</v>
      </c>
      <c r="Z8" s="17" t="n">
        <f aca="false">-OpEx!Z41</f>
        <v>-1179188.41555258</v>
      </c>
      <c r="AA8" s="17" t="n">
        <f aca="false">-OpEx!AA41</f>
        <v>-1202772.18386364</v>
      </c>
      <c r="AB8" s="17" t="n">
        <f aca="false">-OpEx!AB41</f>
        <v>-1226827.62754091</v>
      </c>
      <c r="AC8" s="17" t="n">
        <f aca="false">-OpEx!AC41</f>
        <v>-1251364.18009173</v>
      </c>
      <c r="AD8" s="17" t="n">
        <f aca="false">-OpEx!AD41</f>
        <v>-1276391.46369356</v>
      </c>
      <c r="AE8" s="17" t="n">
        <f aca="false">-OpEx!AE41</f>
        <v>-1301919.29296743</v>
      </c>
      <c r="AF8" s="17" t="n">
        <f aca="false">-OpEx!AF41</f>
        <v>-1327957.67882678</v>
      </c>
      <c r="AG8" s="17" t="n">
        <f aca="false">-OpEx!AG41</f>
        <v>-1354516.83240332</v>
      </c>
      <c r="AH8" s="17" t="n">
        <f aca="false">-OpEx!AH41</f>
        <v>-1381607.16905138</v>
      </c>
      <c r="AI8" s="17" t="n">
        <f aca="false">-OpEx!AI41</f>
        <v>-1409239.31243241</v>
      </c>
      <c r="AJ8" s="17" t="n">
        <f aca="false">-OpEx!AJ41</f>
        <v>-1437424.09868106</v>
      </c>
      <c r="AK8" s="17" t="n">
        <f aca="false">-OpEx!AK41</f>
        <v>-1466172.58065468</v>
      </c>
      <c r="AL8" s="17" t="n">
        <f aca="false">-OpEx!AL41</f>
        <v>-1495496.03226777</v>
      </c>
      <c r="AM8" s="17" t="n">
        <f aca="false">-OpEx!AM41</f>
        <v>-1525405.95291313</v>
      </c>
    </row>
    <row r="9" customFormat="false" ht="15" hidden="false" customHeight="true" outlineLevel="0" collapsed="false">
      <c r="A9" s="8" t="s">
        <v>450</v>
      </c>
      <c r="C9" s="10" t="s">
        <v>29</v>
      </c>
      <c r="D9" s="59" t="n">
        <f aca="false">SUM(E9:AM9)</f>
        <v>58943731.0554974</v>
      </c>
      <c r="E9" s="44" t="n">
        <f aca="false">E7+E8</f>
        <v>2542050</v>
      </c>
      <c r="F9" s="44" t="n">
        <f aca="false">F7+F8</f>
        <v>2543320.2475</v>
      </c>
      <c r="G9" s="44" t="n">
        <f aca="false">G7+G8</f>
        <v>2544362.60472513</v>
      </c>
      <c r="H9" s="44" t="n">
        <f aca="false">H7+H8</f>
        <v>2545171.26005852</v>
      </c>
      <c r="I9" s="44" t="n">
        <f aca="false">I7+I8</f>
        <v>2545740.2794446</v>
      </c>
      <c r="J9" s="44" t="n">
        <f aca="false">J7+J8</f>
        <v>2546063.60390963</v>
      </c>
      <c r="K9" s="44" t="n">
        <f aca="false">K7+K8</f>
        <v>2546135.0470324</v>
      </c>
      <c r="L9" s="44" t="n">
        <f aca="false">L7+L8</f>
        <v>2545948.29236429</v>
      </c>
      <c r="M9" s="44" t="n">
        <f aca="false">M7+M8</f>
        <v>2545496.89079755</v>
      </c>
      <c r="N9" s="44" t="n">
        <f aca="false">N7+N8</f>
        <v>2388774.25788078</v>
      </c>
      <c r="O9" s="44" t="n">
        <f aca="false">O7+O8</f>
        <v>2387773.67108055</v>
      </c>
      <c r="P9" s="44" t="n">
        <f aca="false">P7+P8</f>
        <v>2386488.26698812</v>
      </c>
      <c r="Q9" s="44" t="n">
        <f aca="false">Q7+Q8</f>
        <v>2384911.03847015</v>
      </c>
      <c r="R9" s="44" t="n">
        <f aca="false">R7+R8</f>
        <v>2383034.83176222</v>
      </c>
      <c r="S9" s="44" t="n">
        <f aca="false">S7+S8</f>
        <v>2380852.34350413</v>
      </c>
      <c r="T9" s="44" t="n">
        <f aca="false">T7+T8</f>
        <v>2378356.11771564</v>
      </c>
      <c r="U9" s="44" t="n">
        <f aca="false">U7+U8</f>
        <v>2375538.54271173</v>
      </c>
      <c r="V9" s="44" t="n">
        <f aca="false">V7+V8</f>
        <v>2372391.84795582</v>
      </c>
      <c r="W9" s="44" t="n">
        <f aca="false">W7+W8</f>
        <v>2368908.10085002</v>
      </c>
      <c r="X9" s="44" t="n">
        <f aca="false">X7+X8</f>
        <v>2521079.20346098</v>
      </c>
      <c r="Y9" s="44" t="n">
        <f aca="false">Y7+Y8</f>
        <v>894413.501567316</v>
      </c>
      <c r="Z9" s="44" t="n">
        <f aca="false">Z7+Z8</f>
        <v>861039.7572077</v>
      </c>
      <c r="AA9" s="44" t="n">
        <f aca="false">AA7+AA8</f>
        <v>827254.848032847</v>
      </c>
      <c r="AB9" s="44" t="n">
        <f aca="false">AB7+AB8</f>
        <v>793049.269196092</v>
      </c>
      <c r="AC9" s="44" t="n">
        <f aca="false">AC7+AC8</f>
        <v>758413.332161588</v>
      </c>
      <c r="AD9" s="44" t="n">
        <f aca="false">AD7+AD8</f>
        <v>723337.160998487</v>
      </c>
      <c r="AE9" s="44" t="n">
        <f aca="false">AE7+AE8</f>
        <v>687810.688601156</v>
      </c>
      <c r="AF9" s="44" t="n">
        <f aca="false">AF7+AF8</f>
        <v>651823.652833964</v>
      </c>
      <c r="AG9" s="44" t="n">
        <f aca="false">AG7+AG8</f>
        <v>615365.592599125</v>
      </c>
      <c r="AH9" s="44" t="n">
        <f aca="false">AH7+AH8</f>
        <v>578425.843826046</v>
      </c>
      <c r="AI9" s="44" t="n">
        <f aca="false">AI7+AI8</f>
        <v>540993.535380632</v>
      </c>
      <c r="AJ9" s="44" t="n">
        <f aca="false">AJ7+AJ8</f>
        <v>503057.584892918</v>
      </c>
      <c r="AK9" s="44" t="n">
        <f aca="false">AK7+AK8</f>
        <v>464606.694501427</v>
      </c>
      <c r="AL9" s="44" t="n">
        <f aca="false">AL7+AL8</f>
        <v>425629.346512553</v>
      </c>
      <c r="AM9" s="44" t="n">
        <f aca="false">AM7+AM8</f>
        <v>386113.798973296</v>
      </c>
    </row>
    <row r="10" customFormat="false" ht="15" hidden="false" customHeight="true" outlineLevel="0" collapsed="false">
      <c r="A10" s="8" t="s">
        <v>451</v>
      </c>
      <c r="C10" s="10" t="s">
        <v>29</v>
      </c>
      <c r="D10" s="59" t="n">
        <f aca="false">SUM(E10:AM10)</f>
        <v>-22740900</v>
      </c>
      <c r="E10" s="17" t="n">
        <f aca="false">-Acct!E37</f>
        <v>-4371380</v>
      </c>
      <c r="F10" s="17" t="n">
        <f aca="false">-Acct!F37</f>
        <v>-6941168</v>
      </c>
      <c r="G10" s="17" t="n">
        <f aca="false">-Acct!G37</f>
        <v>-4200060.8</v>
      </c>
      <c r="H10" s="17" t="n">
        <f aca="false">-Acct!H37</f>
        <v>-2555396.48</v>
      </c>
      <c r="I10" s="17" t="n">
        <f aca="false">-Acct!I37</f>
        <v>-2555396.48</v>
      </c>
      <c r="J10" s="17" t="n">
        <f aca="false">-Acct!J37</f>
        <v>-1321898.24</v>
      </c>
      <c r="K10" s="17" t="n">
        <f aca="false">-Acct!K37</f>
        <v>-88400</v>
      </c>
      <c r="L10" s="17" t="n">
        <f aca="false">-Acct!L37</f>
        <v>-88400</v>
      </c>
      <c r="M10" s="17" t="n">
        <f aca="false">-Acct!M37</f>
        <v>-88400</v>
      </c>
      <c r="N10" s="17" t="n">
        <f aca="false">-Acct!N37</f>
        <v>-88400</v>
      </c>
      <c r="O10" s="17" t="n">
        <f aca="false">-Acct!O37</f>
        <v>-88400</v>
      </c>
      <c r="P10" s="17" t="n">
        <f aca="false">-Acct!P37</f>
        <v>-88400</v>
      </c>
      <c r="Q10" s="17" t="n">
        <f aca="false">-Acct!Q37</f>
        <v>-88400</v>
      </c>
      <c r="R10" s="17" t="n">
        <f aca="false">-Acct!R37</f>
        <v>-88400</v>
      </c>
      <c r="S10" s="17" t="n">
        <f aca="false">-Acct!S37</f>
        <v>-88400</v>
      </c>
      <c r="T10" s="17" t="n">
        <f aca="false">-Acct!T37</f>
        <v>-0</v>
      </c>
      <c r="U10" s="17" t="n">
        <f aca="false">-Acct!U37</f>
        <v>-0</v>
      </c>
      <c r="V10" s="17" t="n">
        <f aca="false">-Acct!V37</f>
        <v>-0</v>
      </c>
      <c r="W10" s="17" t="n">
        <f aca="false">-Acct!W37</f>
        <v>-0</v>
      </c>
      <c r="X10" s="17" t="n">
        <f aca="false">-Acct!X37</f>
        <v>-0</v>
      </c>
      <c r="Y10" s="17" t="n">
        <f aca="false">-Acct!Y37</f>
        <v>-0</v>
      </c>
      <c r="Z10" s="17" t="n">
        <f aca="false">-Acct!Z37</f>
        <v>-0</v>
      </c>
      <c r="AA10" s="17" t="n">
        <f aca="false">-Acct!AA37</f>
        <v>-0</v>
      </c>
      <c r="AB10" s="17" t="n">
        <f aca="false">-Acct!AB37</f>
        <v>-0</v>
      </c>
      <c r="AC10" s="17" t="n">
        <f aca="false">-Acct!AC37</f>
        <v>-0</v>
      </c>
      <c r="AD10" s="17" t="n">
        <f aca="false">-Acct!AD37</f>
        <v>-0</v>
      </c>
      <c r="AE10" s="17" t="n">
        <f aca="false">-Acct!AE37</f>
        <v>-0</v>
      </c>
      <c r="AF10" s="17" t="n">
        <f aca="false">-Acct!AF37</f>
        <v>-0</v>
      </c>
      <c r="AG10" s="17" t="n">
        <f aca="false">-Acct!AG37</f>
        <v>-0</v>
      </c>
      <c r="AH10" s="17" t="n">
        <f aca="false">-Acct!AH37</f>
        <v>-0</v>
      </c>
      <c r="AI10" s="17" t="n">
        <f aca="false">-Acct!AI37</f>
        <v>-0</v>
      </c>
      <c r="AJ10" s="17" t="n">
        <f aca="false">-Acct!AJ37</f>
        <v>-0</v>
      </c>
      <c r="AK10" s="17" t="n">
        <f aca="false">-Acct!AK37</f>
        <v>-0</v>
      </c>
      <c r="AL10" s="17" t="n">
        <f aca="false">-Acct!AL37</f>
        <v>-0</v>
      </c>
      <c r="AM10" s="17" t="n">
        <f aca="false">-Acct!AM37</f>
        <v>-0</v>
      </c>
    </row>
    <row r="11" customFormat="false" ht="15" hidden="false" customHeight="true" outlineLevel="0" collapsed="false">
      <c r="A11" s="8" t="s">
        <v>452</v>
      </c>
      <c r="C11" s="10" t="s">
        <v>29</v>
      </c>
      <c r="D11" s="59" t="n">
        <f aca="false">SUM(E11:AM11)</f>
        <v>36202831.0554974</v>
      </c>
      <c r="E11" s="44" t="n">
        <f aca="false">E9+E10</f>
        <v>-1829330</v>
      </c>
      <c r="F11" s="44" t="n">
        <f aca="false">F9+F10</f>
        <v>-4397847.7525</v>
      </c>
      <c r="G11" s="44" t="n">
        <f aca="false">G9+G10</f>
        <v>-1655698.19527488</v>
      </c>
      <c r="H11" s="44" t="n">
        <f aca="false">H9+H10</f>
        <v>-10225.2199414852</v>
      </c>
      <c r="I11" s="44" t="n">
        <f aca="false">I9+I10</f>
        <v>-9656.2005553958</v>
      </c>
      <c r="J11" s="44" t="n">
        <f aca="false">J9+J10</f>
        <v>1224165.36390963</v>
      </c>
      <c r="K11" s="44" t="n">
        <f aca="false">K9+K10</f>
        <v>2457735.0470324</v>
      </c>
      <c r="L11" s="44" t="n">
        <f aca="false">L9+L10</f>
        <v>2457548.29236429</v>
      </c>
      <c r="M11" s="44" t="n">
        <f aca="false">M9+M10</f>
        <v>2457096.89079755</v>
      </c>
      <c r="N11" s="44" t="n">
        <f aca="false">N9+N10</f>
        <v>2300374.25788078</v>
      </c>
      <c r="O11" s="44" t="n">
        <f aca="false">O9+O10</f>
        <v>2299373.67108055</v>
      </c>
      <c r="P11" s="44" t="n">
        <f aca="false">P9+P10</f>
        <v>2298088.26698812</v>
      </c>
      <c r="Q11" s="44" t="n">
        <f aca="false">Q9+Q10</f>
        <v>2296511.03847015</v>
      </c>
      <c r="R11" s="44" t="n">
        <f aca="false">R9+R10</f>
        <v>2294634.83176222</v>
      </c>
      <c r="S11" s="44" t="n">
        <f aca="false">S9+S10</f>
        <v>2292452.34350413</v>
      </c>
      <c r="T11" s="44" t="n">
        <f aca="false">T9+T10</f>
        <v>2378356.11771564</v>
      </c>
      <c r="U11" s="44" t="n">
        <f aca="false">U9+U10</f>
        <v>2375538.54271173</v>
      </c>
      <c r="V11" s="44" t="n">
        <f aca="false">V9+V10</f>
        <v>2372391.84795582</v>
      </c>
      <c r="W11" s="44" t="n">
        <f aca="false">W9+W10</f>
        <v>2368908.10085002</v>
      </c>
      <c r="X11" s="44" t="n">
        <f aca="false">X9+X10</f>
        <v>2521079.20346098</v>
      </c>
      <c r="Y11" s="44" t="n">
        <f aca="false">Y9+Y10</f>
        <v>894413.501567316</v>
      </c>
      <c r="Z11" s="44" t="n">
        <f aca="false">Z9+Z10</f>
        <v>861039.7572077</v>
      </c>
      <c r="AA11" s="44" t="n">
        <f aca="false">AA9+AA10</f>
        <v>827254.848032847</v>
      </c>
      <c r="AB11" s="44" t="n">
        <f aca="false">AB9+AB10</f>
        <v>793049.269196092</v>
      </c>
      <c r="AC11" s="44" t="n">
        <f aca="false">AC9+AC10</f>
        <v>758413.332161588</v>
      </c>
      <c r="AD11" s="44" t="n">
        <f aca="false">AD9+AD10</f>
        <v>723337.160998487</v>
      </c>
      <c r="AE11" s="44" t="n">
        <f aca="false">AE9+AE10</f>
        <v>687810.688601156</v>
      </c>
      <c r="AF11" s="44" t="n">
        <f aca="false">AF9+AF10</f>
        <v>651823.652833964</v>
      </c>
      <c r="AG11" s="44" t="n">
        <f aca="false">AG9+AG10</f>
        <v>615365.592599125</v>
      </c>
      <c r="AH11" s="44" t="n">
        <f aca="false">AH9+AH10</f>
        <v>578425.843826046</v>
      </c>
      <c r="AI11" s="44" t="n">
        <f aca="false">AI9+AI10</f>
        <v>540993.535380632</v>
      </c>
      <c r="AJ11" s="44" t="n">
        <f aca="false">AJ9+AJ10</f>
        <v>503057.584892918</v>
      </c>
      <c r="AK11" s="44" t="n">
        <f aca="false">AK9+AK10</f>
        <v>464606.694501427</v>
      </c>
      <c r="AL11" s="44" t="n">
        <f aca="false">AL9+AL10</f>
        <v>425629.346512553</v>
      </c>
      <c r="AM11" s="44" t="n">
        <f aca="false">AM9+AM10</f>
        <v>386113.798973296</v>
      </c>
    </row>
    <row r="12" customFormat="false" ht="15" hidden="false" customHeight="true" outlineLevel="0" collapsed="false">
      <c r="A12" s="8" t="s">
        <v>453</v>
      </c>
      <c r="C12" s="10" t="s">
        <v>29</v>
      </c>
      <c r="D12" s="59" t="n">
        <f aca="false">SUM(E12:AM12)</f>
        <v>-7602594.52165445</v>
      </c>
      <c r="E12" s="17" t="n">
        <f aca="false">-Tax!E19</f>
        <v>384159.3</v>
      </c>
      <c r="F12" s="17" t="n">
        <f aca="false">-Tax!F19</f>
        <v>923548.028025</v>
      </c>
      <c r="G12" s="17" t="n">
        <f aca="false">-Tax!G19</f>
        <v>347696.621007724</v>
      </c>
      <c r="H12" s="17" t="n">
        <f aca="false">-Tax!H19</f>
        <v>2147.29618771189</v>
      </c>
      <c r="I12" s="17" t="n">
        <f aca="false">-Tax!I19</f>
        <v>2027.80211663312</v>
      </c>
      <c r="J12" s="17" t="n">
        <f aca="false">-Tax!J19</f>
        <v>-257074.726421023</v>
      </c>
      <c r="K12" s="17" t="n">
        <f aca="false">-Tax!K19</f>
        <v>-516124.359876803</v>
      </c>
      <c r="L12" s="17" t="n">
        <f aca="false">-Tax!L19</f>
        <v>-516085.1413965</v>
      </c>
      <c r="M12" s="17" t="n">
        <f aca="false">-Tax!M19</f>
        <v>-515990.347067485</v>
      </c>
      <c r="N12" s="17" t="n">
        <f aca="false">-Tax!N19</f>
        <v>-483078.594154964</v>
      </c>
      <c r="O12" s="17" t="n">
        <f aca="false">-Tax!O19</f>
        <v>-482868.470926915</v>
      </c>
      <c r="P12" s="17" t="n">
        <f aca="false">-Tax!P19</f>
        <v>-482598.536067505</v>
      </c>
      <c r="Q12" s="17" t="n">
        <f aca="false">-Tax!Q19</f>
        <v>-482267.318078731</v>
      </c>
      <c r="R12" s="17" t="n">
        <f aca="false">-Tax!R19</f>
        <v>-481873.314670067</v>
      </c>
      <c r="S12" s="17" t="n">
        <f aca="false">-Tax!S19</f>
        <v>-481414.992135867</v>
      </c>
      <c r="T12" s="17" t="n">
        <f aca="false">-Tax!T19</f>
        <v>-499454.784720285</v>
      </c>
      <c r="U12" s="17" t="n">
        <f aca="false">-Tax!U19</f>
        <v>-498863.093969464</v>
      </c>
      <c r="V12" s="17" t="n">
        <f aca="false">-Tax!V19</f>
        <v>-498202.288070722</v>
      </c>
      <c r="W12" s="17" t="n">
        <f aca="false">-Tax!W19</f>
        <v>-497470.701178504</v>
      </c>
      <c r="X12" s="17" t="n">
        <f aca="false">-Tax!X19</f>
        <v>-529426.632726806</v>
      </c>
      <c r="Y12" s="17" t="n">
        <f aca="false">-Tax!Y19</f>
        <v>-187826.835329136</v>
      </c>
      <c r="Z12" s="17" t="n">
        <f aca="false">-Tax!Z19</f>
        <v>-180818.349013617</v>
      </c>
      <c r="AA12" s="17" t="n">
        <f aca="false">-Tax!AA19</f>
        <v>-173723.518086898</v>
      </c>
      <c r="AB12" s="17" t="n">
        <f aca="false">-Tax!AB19</f>
        <v>-166540.346531179</v>
      </c>
      <c r="AC12" s="17" t="n">
        <f aca="false">-Tax!AC19</f>
        <v>-159266.799753934</v>
      </c>
      <c r="AD12" s="17" t="n">
        <f aca="false">-Tax!AD19</f>
        <v>-151900.803809682</v>
      </c>
      <c r="AE12" s="17" t="n">
        <f aca="false">-Tax!AE19</f>
        <v>-144440.244606243</v>
      </c>
      <c r="AF12" s="17" t="n">
        <f aca="false">-Tax!AF19</f>
        <v>-136882.967095132</v>
      </c>
      <c r="AG12" s="17" t="n">
        <f aca="false">-Tax!AG19</f>
        <v>-129226.774445816</v>
      </c>
      <c r="AH12" s="17" t="n">
        <f aca="false">-Tax!AH19</f>
        <v>-121469.42720347</v>
      </c>
      <c r="AI12" s="17" t="n">
        <f aca="false">-Tax!AI19</f>
        <v>-113608.642429933</v>
      </c>
      <c r="AJ12" s="17" t="n">
        <f aca="false">-Tax!AJ19</f>
        <v>-105642.092827513</v>
      </c>
      <c r="AK12" s="17" t="n">
        <f aca="false">-Tax!AK19</f>
        <v>-97567.4058452997</v>
      </c>
      <c r="AL12" s="17" t="n">
        <f aca="false">-Tax!AL19</f>
        <v>-89382.1627676361</v>
      </c>
      <c r="AM12" s="17" t="n">
        <f aca="false">-Tax!AM19</f>
        <v>-81083.8977843921</v>
      </c>
    </row>
    <row r="13" customFormat="false" ht="15" hidden="false" customHeight="true" outlineLevel="0" collapsed="false">
      <c r="A13" s="8" t="s">
        <v>454</v>
      </c>
      <c r="C13" s="10" t="s">
        <v>29</v>
      </c>
      <c r="D13" s="59" t="n">
        <f aca="false">SUM(E13:AM13)</f>
        <v>7558200</v>
      </c>
      <c r="E13" s="17" t="n">
        <f aca="false">Tax!E20</f>
        <v>7558200</v>
      </c>
      <c r="F13" s="17" t="n">
        <f aca="false">Tax!F20</f>
        <v>0</v>
      </c>
      <c r="G13" s="17" t="n">
        <f aca="false">Tax!G20</f>
        <v>0</v>
      </c>
      <c r="H13" s="17" t="n">
        <f aca="false">Tax!H20</f>
        <v>0</v>
      </c>
      <c r="I13" s="17" t="n">
        <f aca="false">Tax!I20</f>
        <v>0</v>
      </c>
      <c r="J13" s="17" t="n">
        <f aca="false">Tax!J20</f>
        <v>0</v>
      </c>
      <c r="K13" s="17" t="n">
        <f aca="false">Tax!K20</f>
        <v>0</v>
      </c>
      <c r="L13" s="17" t="n">
        <f aca="false">Tax!L20</f>
        <v>0</v>
      </c>
      <c r="M13" s="17" t="n">
        <f aca="false">Tax!M20</f>
        <v>0</v>
      </c>
      <c r="N13" s="17" t="n">
        <f aca="false">Tax!N20</f>
        <v>0</v>
      </c>
      <c r="O13" s="17" t="n">
        <f aca="false">Tax!O20</f>
        <v>0</v>
      </c>
      <c r="P13" s="17" t="n">
        <f aca="false">Tax!P20</f>
        <v>0</v>
      </c>
      <c r="Q13" s="17" t="n">
        <f aca="false">Tax!Q20</f>
        <v>0</v>
      </c>
      <c r="R13" s="17" t="n">
        <f aca="false">Tax!R20</f>
        <v>0</v>
      </c>
      <c r="S13" s="17" t="n">
        <f aca="false">Tax!S20</f>
        <v>0</v>
      </c>
      <c r="T13" s="17" t="n">
        <f aca="false">Tax!T20</f>
        <v>0</v>
      </c>
      <c r="U13" s="17" t="n">
        <f aca="false">Tax!U20</f>
        <v>0</v>
      </c>
      <c r="V13" s="17" t="n">
        <f aca="false">Tax!V20</f>
        <v>0</v>
      </c>
      <c r="W13" s="17" t="n">
        <f aca="false">Tax!W20</f>
        <v>0</v>
      </c>
      <c r="X13" s="17" t="n">
        <f aca="false">Tax!X20</f>
        <v>0</v>
      </c>
      <c r="Y13" s="17" t="n">
        <f aca="false">Tax!Y20</f>
        <v>0</v>
      </c>
      <c r="Z13" s="17" t="n">
        <f aca="false">Tax!Z20</f>
        <v>0</v>
      </c>
      <c r="AA13" s="17" t="n">
        <f aca="false">Tax!AA20</f>
        <v>0</v>
      </c>
      <c r="AB13" s="17" t="n">
        <f aca="false">Tax!AB20</f>
        <v>0</v>
      </c>
      <c r="AC13" s="17" t="n">
        <f aca="false">Tax!AC20</f>
        <v>0</v>
      </c>
      <c r="AD13" s="17" t="n">
        <f aca="false">Tax!AD20</f>
        <v>0</v>
      </c>
      <c r="AE13" s="17" t="n">
        <f aca="false">Tax!AE20</f>
        <v>0</v>
      </c>
      <c r="AF13" s="17" t="n">
        <f aca="false">Tax!AF20</f>
        <v>0</v>
      </c>
      <c r="AG13" s="17" t="n">
        <f aca="false">Tax!AG20</f>
        <v>0</v>
      </c>
      <c r="AH13" s="17" t="n">
        <f aca="false">Tax!AH20</f>
        <v>0</v>
      </c>
      <c r="AI13" s="17" t="n">
        <f aca="false">Tax!AI20</f>
        <v>0</v>
      </c>
      <c r="AJ13" s="17" t="n">
        <f aca="false">Tax!AJ20</f>
        <v>0</v>
      </c>
      <c r="AK13" s="17" t="n">
        <f aca="false">Tax!AK20</f>
        <v>0</v>
      </c>
      <c r="AL13" s="17" t="n">
        <f aca="false">Tax!AL20</f>
        <v>0</v>
      </c>
      <c r="AM13" s="17" t="n">
        <f aca="false">Tax!AM20</f>
        <v>0</v>
      </c>
    </row>
    <row r="14" customFormat="false" ht="15" hidden="false" customHeight="true" outlineLevel="0" collapsed="false">
      <c r="A14" s="8" t="s">
        <v>455</v>
      </c>
      <c r="C14" s="10" t="s">
        <v>29</v>
      </c>
      <c r="D14" s="59" t="n">
        <f aca="false">SUM(E14:AM14)</f>
        <v>36158436.5338429</v>
      </c>
      <c r="E14" s="44" t="n">
        <f aca="false">E11+E12+E13</f>
        <v>6113029.3</v>
      </c>
      <c r="F14" s="44" t="n">
        <f aca="false">F11+F12+F13</f>
        <v>-3474299.724475</v>
      </c>
      <c r="G14" s="44" t="n">
        <f aca="false">G11+G12+G13</f>
        <v>-1308001.57426715</v>
      </c>
      <c r="H14" s="44" t="n">
        <f aca="false">H11+H12+H13</f>
        <v>-8077.92375377331</v>
      </c>
      <c r="I14" s="44" t="n">
        <f aca="false">I11+I12+I13</f>
        <v>-7628.39843876268</v>
      </c>
      <c r="J14" s="44" t="n">
        <f aca="false">J11+J12+J13</f>
        <v>967090.637488609</v>
      </c>
      <c r="K14" s="44" t="n">
        <f aca="false">K11+K12+K13</f>
        <v>1941610.68715559</v>
      </c>
      <c r="L14" s="44" t="n">
        <f aca="false">L11+L12+L13</f>
        <v>1941463.15096779</v>
      </c>
      <c r="M14" s="44" t="n">
        <f aca="false">M11+M12+M13</f>
        <v>1941106.54373006</v>
      </c>
      <c r="N14" s="44" t="n">
        <f aca="false">N11+N12+N13</f>
        <v>1817295.66372582</v>
      </c>
      <c r="O14" s="44" t="n">
        <f aca="false">O11+O12+O13</f>
        <v>1816505.20015363</v>
      </c>
      <c r="P14" s="44" t="n">
        <f aca="false">P11+P12+P13</f>
        <v>1815489.73092062</v>
      </c>
      <c r="Q14" s="44" t="n">
        <f aca="false">Q11+Q12+Q13</f>
        <v>1814243.72039142</v>
      </c>
      <c r="R14" s="44" t="n">
        <f aca="false">R11+R12+R13</f>
        <v>1812761.51709216</v>
      </c>
      <c r="S14" s="44" t="n">
        <f aca="false">S11+S12+S13</f>
        <v>1811037.35136826</v>
      </c>
      <c r="T14" s="44" t="n">
        <f aca="false">T11+T12+T13</f>
        <v>1878901.33299536</v>
      </c>
      <c r="U14" s="44" t="n">
        <f aca="false">U11+U12+U13</f>
        <v>1876675.44874227</v>
      </c>
      <c r="V14" s="44" t="n">
        <f aca="false">V11+V12+V13</f>
        <v>1874189.5598851</v>
      </c>
      <c r="W14" s="44" t="n">
        <f aca="false">W11+W12+W13</f>
        <v>1871437.39967152</v>
      </c>
      <c r="X14" s="44" t="n">
        <f aca="false">X11+X12+X13</f>
        <v>1991652.57073418</v>
      </c>
      <c r="Y14" s="44" t="n">
        <f aca="false">Y11+Y12+Y13</f>
        <v>706586.666238179</v>
      </c>
      <c r="Z14" s="44" t="n">
        <f aca="false">Z11+Z12+Z13</f>
        <v>680221.408194083</v>
      </c>
      <c r="AA14" s="44" t="n">
        <f aca="false">AA11+AA12+AA13</f>
        <v>653531.329945949</v>
      </c>
      <c r="AB14" s="44" t="n">
        <f aca="false">AB11+AB12+AB13</f>
        <v>626508.922664912</v>
      </c>
      <c r="AC14" s="44" t="n">
        <f aca="false">AC11+AC12+AC13</f>
        <v>599146.532407655</v>
      </c>
      <c r="AD14" s="44" t="n">
        <f aca="false">AD11+AD12+AD13</f>
        <v>571436.357188805</v>
      </c>
      <c r="AE14" s="44" t="n">
        <f aca="false">AE11+AE12+AE13</f>
        <v>543370.443994913</v>
      </c>
      <c r="AF14" s="44" t="n">
        <f aca="false">AF11+AF12+AF13</f>
        <v>514940.685738832</v>
      </c>
      <c r="AG14" s="44" t="n">
        <f aca="false">AG11+AG12+AG13</f>
        <v>486138.818153309</v>
      </c>
      <c r="AH14" s="44" t="n">
        <f aca="false">AH11+AH12+AH13</f>
        <v>456956.416622577</v>
      </c>
      <c r="AI14" s="44" t="n">
        <f aca="false">AI11+AI12+AI13</f>
        <v>427384.892950699</v>
      </c>
      <c r="AJ14" s="44" t="n">
        <f aca="false">AJ11+AJ12+AJ13</f>
        <v>397415.492065405</v>
      </c>
      <c r="AK14" s="44" t="n">
        <f aca="false">AK11+AK12+AK13</f>
        <v>367039.288656127</v>
      </c>
      <c r="AL14" s="44" t="n">
        <f aca="false">AL11+AL12+AL13</f>
        <v>336247.183744917</v>
      </c>
      <c r="AM14" s="44" t="n">
        <f aca="false">AM11+AM12+AM13</f>
        <v>305029.901188904</v>
      </c>
    </row>
    <row r="16" customFormat="false" ht="15" hidden="false" customHeight="true" outlineLevel="0" collapsed="false">
      <c r="A16" s="57" t="s">
        <v>456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</row>
    <row r="17" customFormat="false" ht="15" hidden="false" customHeight="true" outlineLevel="0" collapsed="false">
      <c r="A17" s="8" t="s">
        <v>457</v>
      </c>
      <c r="C17" s="10" t="s">
        <v>29</v>
      </c>
      <c r="D17" s="59" t="n">
        <f aca="false">SUM(E17:AM17)</f>
        <v>58899336.5338429</v>
      </c>
      <c r="E17" s="64" t="n">
        <f aca="false">E14-E10</f>
        <v>10484409.3</v>
      </c>
      <c r="F17" s="64" t="n">
        <f aca="false">F14-F10</f>
        <v>3466868.275525</v>
      </c>
      <c r="G17" s="64" t="n">
        <f aca="false">G14-G10</f>
        <v>2892059.22573285</v>
      </c>
      <c r="H17" s="64" t="n">
        <f aca="false">H14-H10</f>
        <v>2547318.55624623</v>
      </c>
      <c r="I17" s="64" t="n">
        <f aca="false">I14-I10</f>
        <v>2547768.08156124</v>
      </c>
      <c r="J17" s="64" t="n">
        <f aca="false">J14-J10</f>
        <v>2288988.87748861</v>
      </c>
      <c r="K17" s="64" t="n">
        <f aca="false">K14-K10</f>
        <v>2030010.68715559</v>
      </c>
      <c r="L17" s="64" t="n">
        <f aca="false">L14-L10</f>
        <v>2029863.15096779</v>
      </c>
      <c r="M17" s="64" t="n">
        <f aca="false">M14-M10</f>
        <v>2029506.54373006</v>
      </c>
      <c r="N17" s="64" t="n">
        <f aca="false">N14-N10</f>
        <v>1905695.66372582</v>
      </c>
      <c r="O17" s="64" t="n">
        <f aca="false">O14-O10</f>
        <v>1904905.20015363</v>
      </c>
      <c r="P17" s="64" t="n">
        <f aca="false">P14-P10</f>
        <v>1903889.73092062</v>
      </c>
      <c r="Q17" s="64" t="n">
        <f aca="false">Q14-Q10</f>
        <v>1902643.72039142</v>
      </c>
      <c r="R17" s="64" t="n">
        <f aca="false">R14-R10</f>
        <v>1901161.51709216</v>
      </c>
      <c r="S17" s="64" t="n">
        <f aca="false">S14-S10</f>
        <v>1899437.35136826</v>
      </c>
      <c r="T17" s="64" t="n">
        <f aca="false">T14-T10</f>
        <v>1878901.33299536</v>
      </c>
      <c r="U17" s="64" t="n">
        <f aca="false">U14-U10</f>
        <v>1876675.44874227</v>
      </c>
      <c r="V17" s="64" t="n">
        <f aca="false">V14-V10</f>
        <v>1874189.5598851</v>
      </c>
      <c r="W17" s="64" t="n">
        <f aca="false">W14-W10</f>
        <v>1871437.39967152</v>
      </c>
      <c r="X17" s="64" t="n">
        <f aca="false">X14-X10</f>
        <v>1991652.57073418</v>
      </c>
      <c r="Y17" s="64" t="n">
        <f aca="false">Y14-Y10</f>
        <v>706586.666238179</v>
      </c>
      <c r="Z17" s="64" t="n">
        <f aca="false">Z14-Z10</f>
        <v>680221.408194083</v>
      </c>
      <c r="AA17" s="64" t="n">
        <f aca="false">AA14-AA10</f>
        <v>653531.329945949</v>
      </c>
      <c r="AB17" s="64" t="n">
        <f aca="false">AB14-AB10</f>
        <v>626508.922664912</v>
      </c>
      <c r="AC17" s="64" t="n">
        <f aca="false">AC14-AC10</f>
        <v>599146.532407655</v>
      </c>
      <c r="AD17" s="64" t="n">
        <f aca="false">AD14-AD10</f>
        <v>571436.357188805</v>
      </c>
      <c r="AE17" s="64" t="n">
        <f aca="false">AE14-AE10</f>
        <v>543370.443994913</v>
      </c>
      <c r="AF17" s="64" t="n">
        <f aca="false">AF14-AF10</f>
        <v>514940.685738832</v>
      </c>
      <c r="AG17" s="64" t="n">
        <f aca="false">AG14-AG10</f>
        <v>486138.818153309</v>
      </c>
      <c r="AH17" s="64" t="n">
        <f aca="false">AH14-AH10</f>
        <v>456956.416622577</v>
      </c>
      <c r="AI17" s="64" t="n">
        <f aca="false">AI14-AI10</f>
        <v>427384.892950699</v>
      </c>
      <c r="AJ17" s="64" t="n">
        <f aca="false">AJ14-AJ10</f>
        <v>397415.492065405</v>
      </c>
      <c r="AK17" s="64" t="n">
        <f aca="false">AK14-AK10</f>
        <v>367039.288656127</v>
      </c>
      <c r="AL17" s="64" t="n">
        <f aca="false">AL14-AL10</f>
        <v>336247.183744917</v>
      </c>
      <c r="AM17" s="64" t="n">
        <f aca="false">AM14-AM10</f>
        <v>305029.901188904</v>
      </c>
    </row>
    <row r="18" customFormat="false" ht="15" hidden="false" customHeight="true" outlineLevel="0" collapsed="false">
      <c r="A18" s="8" t="s">
        <v>458</v>
      </c>
      <c r="C18" s="10" t="s">
        <v>29</v>
      </c>
      <c r="D18" s="59" t="n">
        <f aca="false">SUM(E18:AM18)</f>
        <v>0</v>
      </c>
      <c r="E18" s="72" t="n">
        <v>0</v>
      </c>
      <c r="F18" s="72" t="n">
        <v>0</v>
      </c>
      <c r="G18" s="72" t="n">
        <v>0</v>
      </c>
      <c r="H18" s="72" t="n">
        <v>0</v>
      </c>
      <c r="I18" s="72" t="n">
        <v>0</v>
      </c>
      <c r="J18" s="72" t="n">
        <v>0</v>
      </c>
      <c r="K18" s="72" t="n">
        <v>0</v>
      </c>
      <c r="L18" s="72" t="n">
        <v>0</v>
      </c>
      <c r="M18" s="72" t="n">
        <v>0</v>
      </c>
      <c r="N18" s="72" t="n">
        <v>0</v>
      </c>
      <c r="O18" s="72" t="n">
        <v>0</v>
      </c>
      <c r="P18" s="72" t="n">
        <v>0</v>
      </c>
      <c r="Q18" s="72" t="n">
        <v>0</v>
      </c>
      <c r="R18" s="72" t="n">
        <v>0</v>
      </c>
      <c r="S18" s="72" t="n">
        <v>0</v>
      </c>
      <c r="T18" s="72" t="n">
        <v>0</v>
      </c>
      <c r="U18" s="72" t="n">
        <v>0</v>
      </c>
      <c r="V18" s="72" t="n">
        <v>0</v>
      </c>
      <c r="W18" s="72" t="n">
        <v>0</v>
      </c>
      <c r="X18" s="72" t="n">
        <v>0</v>
      </c>
      <c r="Y18" s="72" t="n">
        <v>0</v>
      </c>
      <c r="Z18" s="72" t="n">
        <v>0</v>
      </c>
      <c r="AA18" s="72" t="n">
        <v>0</v>
      </c>
      <c r="AB18" s="72" t="n">
        <v>0</v>
      </c>
      <c r="AC18" s="72" t="n">
        <v>0</v>
      </c>
      <c r="AD18" s="72" t="n">
        <v>0</v>
      </c>
      <c r="AE18" s="72" t="n">
        <v>0</v>
      </c>
      <c r="AF18" s="72" t="n">
        <v>0</v>
      </c>
      <c r="AG18" s="72" t="n">
        <v>0</v>
      </c>
      <c r="AH18" s="72" t="n">
        <v>0</v>
      </c>
      <c r="AI18" s="72" t="n">
        <v>0</v>
      </c>
      <c r="AJ18" s="72" t="n">
        <v>0</v>
      </c>
      <c r="AK18" s="72" t="n">
        <v>0</v>
      </c>
      <c r="AL18" s="72" t="n">
        <v>0</v>
      </c>
      <c r="AM18" s="72" t="n">
        <v>0</v>
      </c>
    </row>
    <row r="19" customFormat="false" ht="15" hidden="false" customHeight="true" outlineLevel="0" collapsed="false">
      <c r="A19" s="8" t="s">
        <v>459</v>
      </c>
      <c r="C19" s="10" t="s">
        <v>29</v>
      </c>
      <c r="E19" s="72" t="n">
        <v>0</v>
      </c>
      <c r="F19" s="72" t="n">
        <v>0</v>
      </c>
      <c r="G19" s="72" t="n">
        <v>0</v>
      </c>
      <c r="H19" s="72" t="n">
        <v>0</v>
      </c>
      <c r="I19" s="72" t="n">
        <v>0</v>
      </c>
      <c r="J19" s="72" t="n">
        <v>0</v>
      </c>
      <c r="K19" s="72" t="n">
        <v>0</v>
      </c>
      <c r="L19" s="72" t="n">
        <v>0</v>
      </c>
      <c r="M19" s="72" t="n">
        <v>0</v>
      </c>
      <c r="N19" s="72" t="n">
        <v>0</v>
      </c>
      <c r="O19" s="72" t="n">
        <v>0</v>
      </c>
      <c r="P19" s="72" t="n">
        <v>0</v>
      </c>
      <c r="Q19" s="72" t="n">
        <v>0</v>
      </c>
      <c r="R19" s="72" t="n">
        <v>0</v>
      </c>
      <c r="S19" s="72" t="n">
        <v>0</v>
      </c>
      <c r="T19" s="72" t="n">
        <v>0</v>
      </c>
      <c r="U19" s="72" t="n">
        <v>0</v>
      </c>
      <c r="V19" s="72" t="n">
        <v>0</v>
      </c>
      <c r="W19" s="72" t="n">
        <v>0</v>
      </c>
      <c r="X19" s="72" t="n">
        <v>0</v>
      </c>
      <c r="Y19" s="72" t="n">
        <v>0</v>
      </c>
      <c r="Z19" s="72" t="n">
        <v>0</v>
      </c>
      <c r="AA19" s="72" t="n">
        <v>0</v>
      </c>
      <c r="AB19" s="72" t="n">
        <v>0</v>
      </c>
      <c r="AC19" s="72" t="n">
        <v>0</v>
      </c>
      <c r="AD19" s="72" t="n">
        <v>0</v>
      </c>
      <c r="AE19" s="72" t="n">
        <v>0</v>
      </c>
      <c r="AF19" s="72" t="n">
        <v>0</v>
      </c>
      <c r="AG19" s="72" t="n">
        <v>0</v>
      </c>
      <c r="AH19" s="72" t="n">
        <v>0</v>
      </c>
      <c r="AI19" s="72" t="n">
        <v>0</v>
      </c>
      <c r="AJ19" s="72" t="n">
        <v>0</v>
      </c>
      <c r="AK19" s="72" t="n">
        <v>0</v>
      </c>
      <c r="AL19" s="72" t="n">
        <v>0</v>
      </c>
      <c r="AM19" s="72" t="n">
        <v>0</v>
      </c>
    </row>
    <row r="20" customFormat="false" ht="15" hidden="false" customHeight="true" outlineLevel="0" collapsed="false">
      <c r="A20" s="8" t="s">
        <v>460</v>
      </c>
      <c r="C20" s="10" t="s">
        <v>29</v>
      </c>
      <c r="D20" s="59" t="n">
        <f aca="false">SUM(E20:AM20)</f>
        <v>58899336.5338429</v>
      </c>
      <c r="E20" s="44" t="n">
        <f aca="false">E17+E18+E19</f>
        <v>10484409.3</v>
      </c>
      <c r="F20" s="44" t="n">
        <f aca="false">F17+F18+F19</f>
        <v>3466868.275525</v>
      </c>
      <c r="G20" s="44" t="n">
        <f aca="false">G17+G18+G19</f>
        <v>2892059.22573285</v>
      </c>
      <c r="H20" s="44" t="n">
        <f aca="false">H17+H18+H19</f>
        <v>2547318.55624623</v>
      </c>
      <c r="I20" s="44" t="n">
        <f aca="false">I17+I18+I19</f>
        <v>2547768.08156124</v>
      </c>
      <c r="J20" s="44" t="n">
        <f aca="false">J17+J18+J19</f>
        <v>2288988.87748861</v>
      </c>
      <c r="K20" s="44" t="n">
        <f aca="false">K17+K18+K19</f>
        <v>2030010.68715559</v>
      </c>
      <c r="L20" s="44" t="n">
        <f aca="false">L17+L18+L19</f>
        <v>2029863.15096779</v>
      </c>
      <c r="M20" s="44" t="n">
        <f aca="false">M17+M18+M19</f>
        <v>2029506.54373006</v>
      </c>
      <c r="N20" s="44" t="n">
        <f aca="false">N17+N18+N19</f>
        <v>1905695.66372582</v>
      </c>
      <c r="O20" s="44" t="n">
        <f aca="false">O17+O18+O19</f>
        <v>1904905.20015363</v>
      </c>
      <c r="P20" s="44" t="n">
        <f aca="false">P17+P18+P19</f>
        <v>1903889.73092062</v>
      </c>
      <c r="Q20" s="44" t="n">
        <f aca="false">Q17+Q18+Q19</f>
        <v>1902643.72039142</v>
      </c>
      <c r="R20" s="44" t="n">
        <f aca="false">R17+R18+R19</f>
        <v>1901161.51709216</v>
      </c>
      <c r="S20" s="44" t="n">
        <f aca="false">S17+S18+S19</f>
        <v>1899437.35136826</v>
      </c>
      <c r="T20" s="44" t="n">
        <f aca="false">T17+T18+T19</f>
        <v>1878901.33299536</v>
      </c>
      <c r="U20" s="44" t="n">
        <f aca="false">U17+U18+U19</f>
        <v>1876675.44874227</v>
      </c>
      <c r="V20" s="44" t="n">
        <f aca="false">V17+V18+V19</f>
        <v>1874189.5598851</v>
      </c>
      <c r="W20" s="44" t="n">
        <f aca="false">W17+W18+W19</f>
        <v>1871437.39967152</v>
      </c>
      <c r="X20" s="44" t="n">
        <f aca="false">X17+X18+X19</f>
        <v>1991652.57073418</v>
      </c>
      <c r="Y20" s="44" t="n">
        <f aca="false">Y17+Y18+Y19</f>
        <v>706586.666238179</v>
      </c>
      <c r="Z20" s="44" t="n">
        <f aca="false">Z17+Z18+Z19</f>
        <v>680221.408194083</v>
      </c>
      <c r="AA20" s="44" t="n">
        <f aca="false">AA17+AA18+AA19</f>
        <v>653531.329945949</v>
      </c>
      <c r="AB20" s="44" t="n">
        <f aca="false">AB17+AB18+AB19</f>
        <v>626508.922664912</v>
      </c>
      <c r="AC20" s="44" t="n">
        <f aca="false">AC17+AC18+AC19</f>
        <v>599146.532407655</v>
      </c>
      <c r="AD20" s="44" t="n">
        <f aca="false">AD17+AD18+AD19</f>
        <v>571436.357188805</v>
      </c>
      <c r="AE20" s="44" t="n">
        <f aca="false">AE17+AE18+AE19</f>
        <v>543370.443994913</v>
      </c>
      <c r="AF20" s="44" t="n">
        <f aca="false">AF17+AF18+AF19</f>
        <v>514940.685738832</v>
      </c>
      <c r="AG20" s="44" t="n">
        <f aca="false">AG17+AG18+AG19</f>
        <v>486138.818153309</v>
      </c>
      <c r="AH20" s="44" t="n">
        <f aca="false">AH17+AH18+AH19</f>
        <v>456956.416622577</v>
      </c>
      <c r="AI20" s="44" t="n">
        <f aca="false">AI17+AI18+AI19</f>
        <v>427384.892950699</v>
      </c>
      <c r="AJ20" s="44" t="n">
        <f aca="false">AJ17+AJ18+AJ19</f>
        <v>397415.492065405</v>
      </c>
      <c r="AK20" s="44" t="n">
        <f aca="false">AK17+AK18+AK19</f>
        <v>367039.288656127</v>
      </c>
      <c r="AL20" s="44" t="n">
        <f aca="false">AL17+AL18+AL19</f>
        <v>336247.183744917</v>
      </c>
      <c r="AM20" s="44" t="n">
        <f aca="false">AM17+AM18+AM19</f>
        <v>305029.901188904</v>
      </c>
    </row>
    <row r="22" customFormat="false" ht="15" hidden="false" customHeight="true" outlineLevel="0" collapsed="false">
      <c r="A22" s="57" t="s">
        <v>461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</row>
    <row r="23" customFormat="false" ht="15" hidden="false" customHeight="true" outlineLevel="0" collapsed="false">
      <c r="A23" s="8" t="s">
        <v>462</v>
      </c>
      <c r="C23" s="10" t="s">
        <v>29</v>
      </c>
      <c r="E23" s="17" t="n">
        <f aca="false">Acct!E39</f>
        <v>18369520</v>
      </c>
      <c r="F23" s="17" t="n">
        <f aca="false">Acct!F39</f>
        <v>11428352</v>
      </c>
      <c r="G23" s="17" t="n">
        <f aca="false">Acct!G39</f>
        <v>7228291.2</v>
      </c>
      <c r="H23" s="17" t="n">
        <f aca="false">Acct!H39</f>
        <v>4672894.72</v>
      </c>
      <c r="I23" s="17" t="n">
        <f aca="false">Acct!I39</f>
        <v>2117498.24</v>
      </c>
      <c r="J23" s="17" t="n">
        <f aca="false">Acct!J39</f>
        <v>795600</v>
      </c>
      <c r="K23" s="17" t="n">
        <f aca="false">Acct!K39</f>
        <v>707200</v>
      </c>
      <c r="L23" s="17" t="n">
        <f aca="false">Acct!L39</f>
        <v>618800</v>
      </c>
      <c r="M23" s="17" t="n">
        <f aca="false">Acct!M39</f>
        <v>530400</v>
      </c>
      <c r="N23" s="17" t="n">
        <f aca="false">Acct!N39</f>
        <v>442000</v>
      </c>
      <c r="O23" s="17" t="n">
        <f aca="false">Acct!O39</f>
        <v>353600</v>
      </c>
      <c r="P23" s="17" t="n">
        <f aca="false">Acct!P39</f>
        <v>265200</v>
      </c>
      <c r="Q23" s="17" t="n">
        <f aca="false">Acct!Q39</f>
        <v>176800</v>
      </c>
      <c r="R23" s="17" t="n">
        <f aca="false">Acct!R39</f>
        <v>88400</v>
      </c>
      <c r="S23" s="17" t="n">
        <f aca="false">Acct!S39</f>
        <v>0</v>
      </c>
      <c r="T23" s="17" t="n">
        <f aca="false">Acct!T39</f>
        <v>0</v>
      </c>
      <c r="U23" s="17" t="n">
        <f aca="false">Acct!U39</f>
        <v>0</v>
      </c>
      <c r="V23" s="17" t="n">
        <f aca="false">Acct!V39</f>
        <v>0</v>
      </c>
      <c r="W23" s="17" t="n">
        <f aca="false">Acct!W39</f>
        <v>0</v>
      </c>
      <c r="X23" s="17" t="n">
        <f aca="false">Acct!X39</f>
        <v>0</v>
      </c>
      <c r="Y23" s="17" t="n">
        <f aca="false">Acct!Y39</f>
        <v>0</v>
      </c>
      <c r="Z23" s="17" t="n">
        <f aca="false">Acct!Z39</f>
        <v>0</v>
      </c>
      <c r="AA23" s="17" t="n">
        <f aca="false">Acct!AA39</f>
        <v>0</v>
      </c>
      <c r="AB23" s="17" t="n">
        <f aca="false">Acct!AB39</f>
        <v>0</v>
      </c>
      <c r="AC23" s="17" t="n">
        <f aca="false">Acct!AC39</f>
        <v>0</v>
      </c>
      <c r="AD23" s="17" t="n">
        <f aca="false">Acct!AD39</f>
        <v>0</v>
      </c>
      <c r="AE23" s="17" t="n">
        <f aca="false">Acct!AE39</f>
        <v>0</v>
      </c>
      <c r="AF23" s="17" t="n">
        <f aca="false">Acct!AF39</f>
        <v>0</v>
      </c>
      <c r="AG23" s="17" t="n">
        <f aca="false">Acct!AG39</f>
        <v>0</v>
      </c>
      <c r="AH23" s="17" t="n">
        <f aca="false">Acct!AH39</f>
        <v>0</v>
      </c>
      <c r="AI23" s="17" t="n">
        <f aca="false">Acct!AI39</f>
        <v>0</v>
      </c>
      <c r="AJ23" s="17" t="n">
        <f aca="false">Acct!AJ39</f>
        <v>0</v>
      </c>
      <c r="AK23" s="17" t="n">
        <f aca="false">Acct!AK39</f>
        <v>0</v>
      </c>
      <c r="AL23" s="17" t="n">
        <f aca="false">Acct!AL39</f>
        <v>0</v>
      </c>
      <c r="AM23" s="17" t="n">
        <f aca="false">Acct!AM39</f>
        <v>0</v>
      </c>
    </row>
    <row r="24" customFormat="false" ht="15" hidden="false" customHeight="true" outlineLevel="0" collapsed="false">
      <c r="A24" s="8" t="s">
        <v>463</v>
      </c>
      <c r="C24" s="10" t="s">
        <v>29</v>
      </c>
      <c r="E24" s="72" t="n">
        <v>0</v>
      </c>
      <c r="F24" s="72" t="n">
        <v>0</v>
      </c>
      <c r="G24" s="72" t="n">
        <v>0</v>
      </c>
      <c r="H24" s="72" t="n">
        <v>0</v>
      </c>
      <c r="I24" s="72" t="n">
        <v>0</v>
      </c>
      <c r="J24" s="72" t="n">
        <v>0</v>
      </c>
      <c r="K24" s="72" t="n">
        <v>0</v>
      </c>
      <c r="L24" s="72" t="n">
        <v>0</v>
      </c>
      <c r="M24" s="72" t="n">
        <v>0</v>
      </c>
      <c r="N24" s="72" t="n">
        <v>0</v>
      </c>
      <c r="O24" s="72" t="n">
        <v>0</v>
      </c>
      <c r="P24" s="72" t="n">
        <v>0</v>
      </c>
      <c r="Q24" s="72" t="n">
        <v>0</v>
      </c>
      <c r="R24" s="72" t="n">
        <v>0</v>
      </c>
      <c r="S24" s="72" t="n">
        <v>0</v>
      </c>
      <c r="T24" s="72" t="n">
        <v>0</v>
      </c>
      <c r="U24" s="72" t="n">
        <v>0</v>
      </c>
      <c r="V24" s="72" t="n">
        <v>0</v>
      </c>
      <c r="W24" s="72" t="n">
        <v>0</v>
      </c>
      <c r="X24" s="72" t="n">
        <v>0</v>
      </c>
      <c r="Y24" s="72" t="n">
        <v>0</v>
      </c>
      <c r="Z24" s="72" t="n">
        <v>0</v>
      </c>
      <c r="AA24" s="72" t="n">
        <v>0</v>
      </c>
      <c r="AB24" s="72" t="n">
        <v>0</v>
      </c>
      <c r="AC24" s="72" t="n">
        <v>0</v>
      </c>
      <c r="AD24" s="72" t="n">
        <v>0</v>
      </c>
      <c r="AE24" s="72" t="n">
        <v>0</v>
      </c>
      <c r="AF24" s="72" t="n">
        <v>0</v>
      </c>
      <c r="AG24" s="72" t="n">
        <v>0</v>
      </c>
      <c r="AH24" s="72" t="n">
        <v>0</v>
      </c>
      <c r="AI24" s="72" t="n">
        <v>0</v>
      </c>
      <c r="AJ24" s="72" t="n">
        <v>0</v>
      </c>
      <c r="AK24" s="72" t="n">
        <v>0</v>
      </c>
      <c r="AL24" s="72" t="n">
        <v>0</v>
      </c>
      <c r="AM24" s="72" t="n">
        <v>0</v>
      </c>
    </row>
    <row r="25" customFormat="false" ht="15" hidden="false" customHeight="true" outlineLevel="0" collapsed="false">
      <c r="A25" s="8" t="s">
        <v>464</v>
      </c>
      <c r="C25" s="10" t="s">
        <v>29</v>
      </c>
      <c r="E25" s="44" t="n">
        <f aca="false">E23+E24</f>
        <v>18369520</v>
      </c>
      <c r="F25" s="44" t="n">
        <f aca="false">F23+F24</f>
        <v>11428352</v>
      </c>
      <c r="G25" s="44" t="n">
        <f aca="false">G23+G24</f>
        <v>7228291.2</v>
      </c>
      <c r="H25" s="44" t="n">
        <f aca="false">H23+H24</f>
        <v>4672894.72</v>
      </c>
      <c r="I25" s="44" t="n">
        <f aca="false">I23+I24</f>
        <v>2117498.24</v>
      </c>
      <c r="J25" s="44" t="n">
        <f aca="false">J23+J24</f>
        <v>795600</v>
      </c>
      <c r="K25" s="44" t="n">
        <f aca="false">K23+K24</f>
        <v>707200</v>
      </c>
      <c r="L25" s="44" t="n">
        <f aca="false">L23+L24</f>
        <v>618800</v>
      </c>
      <c r="M25" s="44" t="n">
        <f aca="false">M23+M24</f>
        <v>530400</v>
      </c>
      <c r="N25" s="44" t="n">
        <f aca="false">N23+N24</f>
        <v>442000</v>
      </c>
      <c r="O25" s="44" t="n">
        <f aca="false">O23+O24</f>
        <v>353600</v>
      </c>
      <c r="P25" s="44" t="n">
        <f aca="false">P23+P24</f>
        <v>265200</v>
      </c>
      <c r="Q25" s="44" t="n">
        <f aca="false">Q23+Q24</f>
        <v>176800</v>
      </c>
      <c r="R25" s="44" t="n">
        <f aca="false">R23+R24</f>
        <v>88400</v>
      </c>
      <c r="S25" s="44" t="n">
        <f aca="false">S23+S24</f>
        <v>0</v>
      </c>
      <c r="T25" s="44" t="n">
        <f aca="false">T23+T24</f>
        <v>0</v>
      </c>
      <c r="U25" s="44" t="n">
        <f aca="false">U23+U24</f>
        <v>0</v>
      </c>
      <c r="V25" s="44" t="n">
        <f aca="false">V23+V24</f>
        <v>0</v>
      </c>
      <c r="W25" s="44" t="n">
        <f aca="false">W23+W24</f>
        <v>0</v>
      </c>
      <c r="X25" s="44" t="n">
        <f aca="false">X23+X24</f>
        <v>0</v>
      </c>
      <c r="Y25" s="44" t="n">
        <f aca="false">Y23+Y24</f>
        <v>0</v>
      </c>
      <c r="Z25" s="44" t="n">
        <f aca="false">Z23+Z24</f>
        <v>0</v>
      </c>
      <c r="AA25" s="44" t="n">
        <f aca="false">AA23+AA24</f>
        <v>0</v>
      </c>
      <c r="AB25" s="44" t="n">
        <f aca="false">AB23+AB24</f>
        <v>0</v>
      </c>
      <c r="AC25" s="44" t="n">
        <f aca="false">AC23+AC24</f>
        <v>0</v>
      </c>
      <c r="AD25" s="44" t="n">
        <f aca="false">AD23+AD24</f>
        <v>0</v>
      </c>
      <c r="AE25" s="44" t="n">
        <f aca="false">AE23+AE24</f>
        <v>0</v>
      </c>
      <c r="AF25" s="44" t="n">
        <f aca="false">AF23+AF24</f>
        <v>0</v>
      </c>
      <c r="AG25" s="44" t="n">
        <f aca="false">AG23+AG24</f>
        <v>0</v>
      </c>
      <c r="AH25" s="44" t="n">
        <f aca="false">AH23+AH24</f>
        <v>0</v>
      </c>
      <c r="AI25" s="44" t="n">
        <f aca="false">AI23+AI24</f>
        <v>0</v>
      </c>
      <c r="AJ25" s="44" t="n">
        <f aca="false">AJ23+AJ24</f>
        <v>0</v>
      </c>
      <c r="AK25" s="44" t="n">
        <f aca="false">AK23+AK24</f>
        <v>0</v>
      </c>
      <c r="AL25" s="44" t="n">
        <f aca="false">AL23+AL24</f>
        <v>0</v>
      </c>
      <c r="AM25" s="44" t="n">
        <f aca="false">AM23+AM24</f>
        <v>0</v>
      </c>
    </row>
    <row r="26" customFormat="false" ht="15" hidden="false" customHeight="true" outlineLevel="0" collapsed="false">
      <c r="A26" s="8" t="s">
        <v>465</v>
      </c>
      <c r="C26" s="10" t="s">
        <v>29</v>
      </c>
      <c r="E26" s="17" t="n">
        <f aca="false">Acct!B27+Acct!B28</f>
        <v>22740900</v>
      </c>
      <c r="F26" s="17" t="n">
        <f aca="false">Acct!B27+Acct!B28</f>
        <v>22740900</v>
      </c>
      <c r="G26" s="17" t="n">
        <f aca="false">Acct!B27+Acct!B28</f>
        <v>22740900</v>
      </c>
      <c r="H26" s="17" t="n">
        <f aca="false">Acct!B27+Acct!B28</f>
        <v>22740900</v>
      </c>
      <c r="I26" s="17" t="n">
        <f aca="false">Acct!B27+Acct!B28</f>
        <v>22740900</v>
      </c>
      <c r="J26" s="17" t="n">
        <f aca="false">Acct!B27+Acct!B28</f>
        <v>22740900</v>
      </c>
      <c r="K26" s="17" t="n">
        <f aca="false">Acct!B27+Acct!B28</f>
        <v>22740900</v>
      </c>
      <c r="L26" s="17" t="n">
        <f aca="false">Acct!B27+Acct!B28</f>
        <v>22740900</v>
      </c>
      <c r="M26" s="17" t="n">
        <f aca="false">Acct!B27+Acct!B28</f>
        <v>22740900</v>
      </c>
      <c r="N26" s="17" t="n">
        <f aca="false">Acct!B27+Acct!B28</f>
        <v>22740900</v>
      </c>
      <c r="O26" s="17" t="n">
        <f aca="false">Acct!B27+Acct!B28</f>
        <v>22740900</v>
      </c>
      <c r="P26" s="17" t="n">
        <f aca="false">Acct!B27+Acct!B28</f>
        <v>22740900</v>
      </c>
      <c r="Q26" s="17" t="n">
        <f aca="false">Acct!B27+Acct!B28</f>
        <v>22740900</v>
      </c>
      <c r="R26" s="17" t="n">
        <f aca="false">Acct!B27+Acct!B28</f>
        <v>22740900</v>
      </c>
      <c r="S26" s="17" t="n">
        <f aca="false">Acct!B27+Acct!B28</f>
        <v>22740900</v>
      </c>
      <c r="T26" s="17" t="n">
        <f aca="false">Acct!B27+Acct!B28</f>
        <v>22740900</v>
      </c>
      <c r="U26" s="17" t="n">
        <f aca="false">Acct!B27+Acct!B28</f>
        <v>22740900</v>
      </c>
      <c r="V26" s="17" t="n">
        <f aca="false">Acct!B27+Acct!B28</f>
        <v>22740900</v>
      </c>
      <c r="W26" s="17" t="n">
        <f aca="false">Acct!B27+Acct!B28</f>
        <v>22740900</v>
      </c>
      <c r="X26" s="17" t="n">
        <f aca="false">Acct!B27+Acct!B28</f>
        <v>22740900</v>
      </c>
      <c r="Y26" s="17" t="n">
        <f aca="false">Acct!B27+Acct!B28</f>
        <v>22740900</v>
      </c>
      <c r="Z26" s="17" t="n">
        <f aca="false">Acct!B27+Acct!B28</f>
        <v>22740900</v>
      </c>
      <c r="AA26" s="17" t="n">
        <f aca="false">Acct!B27+Acct!B28</f>
        <v>22740900</v>
      </c>
      <c r="AB26" s="17" t="n">
        <f aca="false">Acct!B27+Acct!B28</f>
        <v>22740900</v>
      </c>
      <c r="AC26" s="17" t="n">
        <f aca="false">Acct!B27+Acct!B28</f>
        <v>22740900</v>
      </c>
      <c r="AD26" s="17" t="n">
        <f aca="false">Acct!B27+Acct!B28</f>
        <v>22740900</v>
      </c>
      <c r="AE26" s="17" t="n">
        <f aca="false">Acct!B27+Acct!B28</f>
        <v>22740900</v>
      </c>
      <c r="AF26" s="17" t="n">
        <f aca="false">Acct!B27+Acct!B28</f>
        <v>22740900</v>
      </c>
      <c r="AG26" s="17" t="n">
        <f aca="false">Acct!B27+Acct!B28</f>
        <v>22740900</v>
      </c>
      <c r="AH26" s="17" t="n">
        <f aca="false">Acct!B27+Acct!B28</f>
        <v>22740900</v>
      </c>
      <c r="AI26" s="17" t="n">
        <f aca="false">Acct!B27+Acct!B28</f>
        <v>22740900</v>
      </c>
      <c r="AJ26" s="17" t="n">
        <f aca="false">Acct!B27+Acct!B28</f>
        <v>22740900</v>
      </c>
      <c r="AK26" s="17" t="n">
        <f aca="false">Acct!B27+Acct!B28</f>
        <v>22740900</v>
      </c>
      <c r="AL26" s="17" t="n">
        <f aca="false">Acct!B27+Acct!B28</f>
        <v>22740900</v>
      </c>
      <c r="AM26" s="17" t="n">
        <f aca="false">Acct!B27+Acct!B28</f>
        <v>22740900</v>
      </c>
    </row>
    <row r="27" customFormat="false" ht="15" hidden="false" customHeight="true" outlineLevel="0" collapsed="false">
      <c r="A27" s="8" t="s">
        <v>466</v>
      </c>
      <c r="C27" s="10" t="s">
        <v>29</v>
      </c>
      <c r="E27" s="64" t="n">
        <f aca="false">E14</f>
        <v>6113029.3</v>
      </c>
      <c r="F27" s="64" t="n">
        <f aca="false">E27+F14</f>
        <v>2638729.575525</v>
      </c>
      <c r="G27" s="64" t="n">
        <f aca="false">F27+G14</f>
        <v>1330728.00125785</v>
      </c>
      <c r="H27" s="64" t="n">
        <f aca="false">G27+H14</f>
        <v>1322650.07750408</v>
      </c>
      <c r="I27" s="64" t="n">
        <f aca="false">H27+I14</f>
        <v>1315021.67906531</v>
      </c>
      <c r="J27" s="64" t="n">
        <f aca="false">I27+J14</f>
        <v>2282112.31655392</v>
      </c>
      <c r="K27" s="64" t="n">
        <f aca="false">J27+K14</f>
        <v>4223723.00370951</v>
      </c>
      <c r="L27" s="64" t="n">
        <f aca="false">K27+L14</f>
        <v>6165186.1546773</v>
      </c>
      <c r="M27" s="64" t="n">
        <f aca="false">L27+M14</f>
        <v>8106292.69840736</v>
      </c>
      <c r="N27" s="64" t="n">
        <f aca="false">M27+N14</f>
        <v>9923588.36213318</v>
      </c>
      <c r="O27" s="64" t="n">
        <f aca="false">N27+O14</f>
        <v>11740093.5622868</v>
      </c>
      <c r="P27" s="64" t="n">
        <f aca="false">O27+P14</f>
        <v>13555583.2932074</v>
      </c>
      <c r="Q27" s="64" t="n">
        <f aca="false">P27+Q14</f>
        <v>15369827.0135988</v>
      </c>
      <c r="R27" s="64" t="n">
        <f aca="false">Q27+R14</f>
        <v>17182588.530691</v>
      </c>
      <c r="S27" s="64" t="n">
        <f aca="false">R27+S14</f>
        <v>18993625.8820593</v>
      </c>
      <c r="T27" s="64" t="n">
        <f aca="false">S27+T14</f>
        <v>20872527.2150546</v>
      </c>
      <c r="U27" s="64" t="n">
        <f aca="false">T27+U14</f>
        <v>22749202.6637969</v>
      </c>
      <c r="V27" s="64" t="n">
        <f aca="false">U27+V14</f>
        <v>24623392.223682</v>
      </c>
      <c r="W27" s="64" t="n">
        <f aca="false">V27+W14</f>
        <v>26494829.6233535</v>
      </c>
      <c r="X27" s="64" t="n">
        <f aca="false">W27+X14</f>
        <v>28486482.1940877</v>
      </c>
      <c r="Y27" s="64" t="n">
        <f aca="false">X27+Y14</f>
        <v>29193068.8603259</v>
      </c>
      <c r="Z27" s="64" t="n">
        <f aca="false">Y27+Z14</f>
        <v>29873290.2685199</v>
      </c>
      <c r="AA27" s="64" t="n">
        <f aca="false">Z27+AA14</f>
        <v>30526821.5984659</v>
      </c>
      <c r="AB27" s="64" t="n">
        <f aca="false">AA27+AB14</f>
        <v>31153330.5211308</v>
      </c>
      <c r="AC27" s="64" t="n">
        <f aca="false">AB27+AC14</f>
        <v>31752477.0535385</v>
      </c>
      <c r="AD27" s="64" t="n">
        <f aca="false">AC27+AD14</f>
        <v>32323913.4107273</v>
      </c>
      <c r="AE27" s="64" t="n">
        <f aca="false">AD27+AE14</f>
        <v>32867283.8547222</v>
      </c>
      <c r="AF27" s="64" t="n">
        <f aca="false">AE27+AF14</f>
        <v>33382224.540461</v>
      </c>
      <c r="AG27" s="64" t="n">
        <f aca="false">AF27+AG14</f>
        <v>33868363.3586143</v>
      </c>
      <c r="AH27" s="64" t="n">
        <f aca="false">AG27+AH14</f>
        <v>34325319.7752369</v>
      </c>
      <c r="AI27" s="64" t="n">
        <f aca="false">AH27+AI14</f>
        <v>34752704.6681876</v>
      </c>
      <c r="AJ27" s="64" t="n">
        <f aca="false">AI27+AJ14</f>
        <v>35150120.160253</v>
      </c>
      <c r="AK27" s="64" t="n">
        <f aca="false">AJ27+AK14</f>
        <v>35517159.4489091</v>
      </c>
      <c r="AL27" s="64" t="n">
        <f aca="false">AK27+AL14</f>
        <v>35853406.6326541</v>
      </c>
      <c r="AM27" s="64" t="n">
        <f aca="false">AL27+AM14</f>
        <v>36158436.533843</v>
      </c>
    </row>
    <row r="28" customFormat="false" ht="15" hidden="false" customHeight="true" outlineLevel="0" collapsed="false">
      <c r="A28" s="8" t="s">
        <v>467</v>
      </c>
      <c r="C28" s="10" t="s">
        <v>29</v>
      </c>
      <c r="E28" s="64" t="n">
        <f aca="false">E20</f>
        <v>10484409.3</v>
      </c>
      <c r="F28" s="64" t="n">
        <f aca="false">E28+F20</f>
        <v>13951277.575525</v>
      </c>
      <c r="G28" s="64" t="n">
        <f aca="false">F28+G20</f>
        <v>16843336.8012579</v>
      </c>
      <c r="H28" s="64" t="n">
        <f aca="false">G28+H20</f>
        <v>19390655.3575041</v>
      </c>
      <c r="I28" s="64" t="n">
        <f aca="false">H28+I20</f>
        <v>21938423.4390653</v>
      </c>
      <c r="J28" s="64" t="n">
        <f aca="false">I28+J20</f>
        <v>24227412.3165539</v>
      </c>
      <c r="K28" s="64" t="n">
        <f aca="false">J28+K20</f>
        <v>26257423.0037095</v>
      </c>
      <c r="L28" s="64" t="n">
        <f aca="false">K28+L20</f>
        <v>28287286.1546773</v>
      </c>
      <c r="M28" s="64" t="n">
        <f aca="false">L28+M20</f>
        <v>30316792.6984074</v>
      </c>
      <c r="N28" s="64" t="n">
        <f aca="false">M28+N20</f>
        <v>32222488.3621332</v>
      </c>
      <c r="O28" s="64" t="n">
        <f aca="false">N28+O20</f>
        <v>34127393.5622868</v>
      </c>
      <c r="P28" s="64" t="n">
        <f aca="false">O28+P20</f>
        <v>36031283.2932074</v>
      </c>
      <c r="Q28" s="64" t="n">
        <f aca="false">P28+Q20</f>
        <v>37933927.0135988</v>
      </c>
      <c r="R28" s="64" t="n">
        <f aca="false">Q28+R20</f>
        <v>39835088.530691</v>
      </c>
      <c r="S28" s="64" t="n">
        <f aca="false">R28+S20</f>
        <v>41734525.8820593</v>
      </c>
      <c r="T28" s="64" t="n">
        <f aca="false">S28+T20</f>
        <v>43613427.2150546</v>
      </c>
      <c r="U28" s="64" t="n">
        <f aca="false">T28+U20</f>
        <v>45490102.6637969</v>
      </c>
      <c r="V28" s="64" t="n">
        <f aca="false">U28+V20</f>
        <v>47364292.223682</v>
      </c>
      <c r="W28" s="64" t="n">
        <f aca="false">V28+W20</f>
        <v>49235729.6233535</v>
      </c>
      <c r="X28" s="64" t="n">
        <f aca="false">W28+X20</f>
        <v>51227382.1940877</v>
      </c>
      <c r="Y28" s="64" t="n">
        <f aca="false">X28+Y20</f>
        <v>51933968.8603259</v>
      </c>
      <c r="Z28" s="64" t="n">
        <f aca="false">Y28+Z20</f>
        <v>52614190.2685199</v>
      </c>
      <c r="AA28" s="64" t="n">
        <f aca="false">Z28+AA20</f>
        <v>53267721.5984659</v>
      </c>
      <c r="AB28" s="64" t="n">
        <f aca="false">AA28+AB20</f>
        <v>53894230.5211308</v>
      </c>
      <c r="AC28" s="64" t="n">
        <f aca="false">AB28+AC20</f>
        <v>54493377.0535385</v>
      </c>
      <c r="AD28" s="64" t="n">
        <f aca="false">AC28+AD20</f>
        <v>55064813.4107273</v>
      </c>
      <c r="AE28" s="64" t="n">
        <f aca="false">AD28+AE20</f>
        <v>55608183.8547222</v>
      </c>
      <c r="AF28" s="64" t="n">
        <f aca="false">AE28+AF20</f>
        <v>56123124.540461</v>
      </c>
      <c r="AG28" s="64" t="n">
        <f aca="false">AF28+AG20</f>
        <v>56609263.3586143</v>
      </c>
      <c r="AH28" s="64" t="n">
        <f aca="false">AG28+AH20</f>
        <v>57066219.7752369</v>
      </c>
      <c r="AI28" s="64" t="n">
        <f aca="false">AH28+AI20</f>
        <v>57493604.6681876</v>
      </c>
      <c r="AJ28" s="64" t="n">
        <f aca="false">AI28+AJ20</f>
        <v>57891020.160253</v>
      </c>
      <c r="AK28" s="64" t="n">
        <f aca="false">AJ28+AK20</f>
        <v>58258059.4489091</v>
      </c>
      <c r="AL28" s="64" t="n">
        <f aca="false">AK28+AL20</f>
        <v>58594306.6326541</v>
      </c>
      <c r="AM28" s="64" t="n">
        <f aca="false">AL28+AM20</f>
        <v>58899336.533843</v>
      </c>
    </row>
    <row r="29" customFormat="false" ht="15" hidden="false" customHeight="true" outlineLevel="0" collapsed="false">
      <c r="A29" s="8" t="s">
        <v>468</v>
      </c>
      <c r="C29" s="10" t="s">
        <v>29</v>
      </c>
      <c r="E29" s="64" t="n">
        <f aca="false">E27-E28</f>
        <v>-4371380</v>
      </c>
      <c r="F29" s="64" t="n">
        <f aca="false">F27-F28</f>
        <v>-11312548</v>
      </c>
      <c r="G29" s="64" t="n">
        <f aca="false">G27-G28</f>
        <v>-15512608.8</v>
      </c>
      <c r="H29" s="64" t="n">
        <f aca="false">H27-H28</f>
        <v>-18068005.28</v>
      </c>
      <c r="I29" s="64" t="n">
        <f aca="false">I27-I28</f>
        <v>-20623401.76</v>
      </c>
      <c r="J29" s="64" t="n">
        <f aca="false">J27-J28</f>
        <v>-21945300</v>
      </c>
      <c r="K29" s="64" t="n">
        <f aca="false">K27-K28</f>
        <v>-22033700</v>
      </c>
      <c r="L29" s="64" t="n">
        <f aca="false">L27-L28</f>
        <v>-22122100</v>
      </c>
      <c r="M29" s="64" t="n">
        <f aca="false">M27-M28</f>
        <v>-22210500</v>
      </c>
      <c r="N29" s="64" t="n">
        <f aca="false">N27-N28</f>
        <v>-22298900</v>
      </c>
      <c r="O29" s="64" t="n">
        <f aca="false">O27-O28</f>
        <v>-22387300</v>
      </c>
      <c r="P29" s="64" t="n">
        <f aca="false">P27-P28</f>
        <v>-22475700</v>
      </c>
      <c r="Q29" s="64" t="n">
        <f aca="false">Q27-Q28</f>
        <v>-22564100</v>
      </c>
      <c r="R29" s="64" t="n">
        <f aca="false">R27-R28</f>
        <v>-22652500</v>
      </c>
      <c r="S29" s="64" t="n">
        <f aca="false">S27-S28</f>
        <v>-22740900</v>
      </c>
      <c r="T29" s="64" t="n">
        <f aca="false">T27-T28</f>
        <v>-22740900</v>
      </c>
      <c r="U29" s="64" t="n">
        <f aca="false">U27-U28</f>
        <v>-22740900</v>
      </c>
      <c r="V29" s="64" t="n">
        <f aca="false">V27-V28</f>
        <v>-22740900</v>
      </c>
      <c r="W29" s="64" t="n">
        <f aca="false">W27-W28</f>
        <v>-22740900</v>
      </c>
      <c r="X29" s="64" t="n">
        <f aca="false">X27-X28</f>
        <v>-22740900</v>
      </c>
      <c r="Y29" s="64" t="n">
        <f aca="false">Y27-Y28</f>
        <v>-22740900</v>
      </c>
      <c r="Z29" s="64" t="n">
        <f aca="false">Z27-Z28</f>
        <v>-22740900</v>
      </c>
      <c r="AA29" s="64" t="n">
        <f aca="false">AA27-AA28</f>
        <v>-22740900</v>
      </c>
      <c r="AB29" s="64" t="n">
        <f aca="false">AB27-AB28</f>
        <v>-22740900</v>
      </c>
      <c r="AC29" s="64" t="n">
        <f aca="false">AC27-AC28</f>
        <v>-22740900</v>
      </c>
      <c r="AD29" s="64" t="n">
        <f aca="false">AD27-AD28</f>
        <v>-22740900</v>
      </c>
      <c r="AE29" s="64" t="n">
        <f aca="false">AE27-AE28</f>
        <v>-22740900</v>
      </c>
      <c r="AF29" s="64" t="n">
        <f aca="false">AF27-AF28</f>
        <v>-22740900</v>
      </c>
      <c r="AG29" s="64" t="n">
        <f aca="false">AG27-AG28</f>
        <v>-22740900</v>
      </c>
      <c r="AH29" s="64" t="n">
        <f aca="false">AH27-AH28</f>
        <v>-22740900</v>
      </c>
      <c r="AI29" s="64" t="n">
        <f aca="false">AI27-AI28</f>
        <v>-22740900</v>
      </c>
      <c r="AJ29" s="64" t="n">
        <f aca="false">AJ27-AJ28</f>
        <v>-22740900</v>
      </c>
      <c r="AK29" s="64" t="n">
        <f aca="false">AK27-AK28</f>
        <v>-22740900</v>
      </c>
      <c r="AL29" s="64" t="n">
        <f aca="false">AL27-AL28</f>
        <v>-22740900</v>
      </c>
      <c r="AM29" s="64" t="n">
        <f aca="false">AM27-AM28</f>
        <v>-22740900</v>
      </c>
    </row>
    <row r="30" customFormat="false" ht="15" hidden="false" customHeight="true" outlineLevel="0" collapsed="false">
      <c r="A30" s="8" t="s">
        <v>469</v>
      </c>
      <c r="C30" s="10" t="s">
        <v>29</v>
      </c>
      <c r="E30" s="44" t="n">
        <f aca="false">E26+E29</f>
        <v>18369520</v>
      </c>
      <c r="F30" s="44" t="n">
        <f aca="false">F26+F29</f>
        <v>11428352</v>
      </c>
      <c r="G30" s="44" t="n">
        <f aca="false">G26+G29</f>
        <v>7228291.2</v>
      </c>
      <c r="H30" s="44" t="n">
        <f aca="false">H26+H29</f>
        <v>4672894.72</v>
      </c>
      <c r="I30" s="44" t="n">
        <f aca="false">I26+I29</f>
        <v>2117498.24</v>
      </c>
      <c r="J30" s="44" t="n">
        <f aca="false">J26+J29</f>
        <v>795599.999999996</v>
      </c>
      <c r="K30" s="44" t="n">
        <f aca="false">K26+K29</f>
        <v>707199.999999996</v>
      </c>
      <c r="L30" s="44" t="n">
        <f aca="false">L26+L29</f>
        <v>618799.999999996</v>
      </c>
      <c r="M30" s="44" t="n">
        <f aca="false">M26+M29</f>
        <v>530399.999999996</v>
      </c>
      <c r="N30" s="44" t="n">
        <f aca="false">N26+N29</f>
        <v>441999.999999993</v>
      </c>
      <c r="O30" s="44" t="n">
        <f aca="false">O26+O29</f>
        <v>353599.999999993</v>
      </c>
      <c r="P30" s="44" t="n">
        <f aca="false">P26+P29</f>
        <v>265199.999999993</v>
      </c>
      <c r="Q30" s="44" t="n">
        <f aca="false">Q26+Q29</f>
        <v>176799.999999996</v>
      </c>
      <c r="R30" s="44" t="n">
        <f aca="false">R26+R29</f>
        <v>88400</v>
      </c>
      <c r="S30" s="44" t="n">
        <f aca="false">S26+S29</f>
        <v>0</v>
      </c>
      <c r="T30" s="44" t="n">
        <f aca="false">T26+T29</f>
        <v>0</v>
      </c>
      <c r="U30" s="44" t="n">
        <f aca="false">U26+U29</f>
        <v>0</v>
      </c>
      <c r="V30" s="44" t="n">
        <f aca="false">V26+V29</f>
        <v>0</v>
      </c>
      <c r="W30" s="44" t="n">
        <f aca="false">W26+W29</f>
        <v>0</v>
      </c>
      <c r="X30" s="44" t="n">
        <f aca="false">X26+X29</f>
        <v>0</v>
      </c>
      <c r="Y30" s="44" t="n">
        <f aca="false">Y26+Y29</f>
        <v>0</v>
      </c>
      <c r="Z30" s="44" t="n">
        <f aca="false">Z26+Z29</f>
        <v>0</v>
      </c>
      <c r="AA30" s="44" t="n">
        <f aca="false">AA26+AA29</f>
        <v>0</v>
      </c>
      <c r="AB30" s="44" t="n">
        <f aca="false">AB26+AB29</f>
        <v>0</v>
      </c>
      <c r="AC30" s="44" t="n">
        <f aca="false">AC26+AC29</f>
        <v>0</v>
      </c>
      <c r="AD30" s="44" t="n">
        <f aca="false">AD26+AD29</f>
        <v>0</v>
      </c>
      <c r="AE30" s="44" t="n">
        <f aca="false">AE26+AE29</f>
        <v>0</v>
      </c>
      <c r="AF30" s="44" t="n">
        <f aca="false">AF26+AF29</f>
        <v>0</v>
      </c>
      <c r="AG30" s="44" t="n">
        <f aca="false">AG26+AG29</f>
        <v>0</v>
      </c>
      <c r="AH30" s="44" t="n">
        <f aca="false">AH26+AH29</f>
        <v>0</v>
      </c>
      <c r="AI30" s="44" t="n">
        <f aca="false">AI26+AI29</f>
        <v>0</v>
      </c>
      <c r="AJ30" s="44" t="n">
        <f aca="false">AJ26+AJ29</f>
        <v>0</v>
      </c>
      <c r="AK30" s="44" t="n">
        <f aca="false">AK26+AK29</f>
        <v>0</v>
      </c>
      <c r="AL30" s="44" t="n">
        <f aca="false">AL26+AL29</f>
        <v>0</v>
      </c>
      <c r="AM30" s="44" t="n">
        <f aca="false">AM26+AM29</f>
        <v>0</v>
      </c>
    </row>
    <row r="32" customFormat="false" ht="15" hidden="false" customHeight="true" outlineLevel="0" collapsed="false">
      <c r="A32" s="57" t="s">
        <v>470</v>
      </c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</row>
    <row r="33" customFormat="false" ht="15" hidden="false" customHeight="true" outlineLevel="0" collapsed="false">
      <c r="A33" s="8" t="s">
        <v>471</v>
      </c>
      <c r="C33" s="10" t="s">
        <v>29</v>
      </c>
      <c r="E33" s="44" t="n">
        <f aca="false">E25-E30</f>
        <v>0</v>
      </c>
      <c r="F33" s="44" t="n">
        <f aca="false">F25-F30</f>
        <v>0</v>
      </c>
      <c r="G33" s="44" t="n">
        <f aca="false">G25-G30</f>
        <v>0</v>
      </c>
      <c r="H33" s="44" t="n">
        <f aca="false">H25-H30</f>
        <v>0</v>
      </c>
      <c r="I33" s="44" t="n">
        <f aca="false">I25-I30</f>
        <v>0</v>
      </c>
      <c r="J33" s="44" t="n">
        <f aca="false">J25-J30</f>
        <v>3.72529029846191E-009</v>
      </c>
      <c r="K33" s="44" t="n">
        <f aca="false">K25-K30</f>
        <v>3.72529029846191E-009</v>
      </c>
      <c r="L33" s="44" t="n">
        <f aca="false">L25-L30</f>
        <v>3.72529029846191E-009</v>
      </c>
      <c r="M33" s="44" t="n">
        <f aca="false">M25-M30</f>
        <v>3.72529029846191E-009</v>
      </c>
      <c r="N33" s="44" t="n">
        <f aca="false">N25-N30</f>
        <v>7.45058059692383E-009</v>
      </c>
      <c r="O33" s="44" t="n">
        <f aca="false">O25-O30</f>
        <v>7.45058059692383E-009</v>
      </c>
      <c r="P33" s="44" t="n">
        <f aca="false">P25-P30</f>
        <v>7.45058059692383E-009</v>
      </c>
      <c r="Q33" s="44" t="n">
        <f aca="false">Q25-Q30</f>
        <v>3.72529029846191E-009</v>
      </c>
      <c r="R33" s="44" t="n">
        <f aca="false">R25-R30</f>
        <v>0</v>
      </c>
      <c r="S33" s="44" t="n">
        <f aca="false">S25-S30</f>
        <v>0</v>
      </c>
      <c r="T33" s="44" t="n">
        <f aca="false">T25-T30</f>
        <v>0</v>
      </c>
      <c r="U33" s="44" t="n">
        <f aca="false">U25-U30</f>
        <v>0</v>
      </c>
      <c r="V33" s="44" t="n">
        <f aca="false">V25-V30</f>
        <v>0</v>
      </c>
      <c r="W33" s="44" t="n">
        <f aca="false">W25-W30</f>
        <v>0</v>
      </c>
      <c r="X33" s="44" t="n">
        <f aca="false">X25-X30</f>
        <v>0</v>
      </c>
      <c r="Y33" s="44" t="n">
        <f aca="false">Y25-Y30</f>
        <v>0</v>
      </c>
      <c r="Z33" s="44" t="n">
        <f aca="false">Z25-Z30</f>
        <v>0</v>
      </c>
      <c r="AA33" s="44" t="n">
        <f aca="false">AA25-AA30</f>
        <v>0</v>
      </c>
      <c r="AB33" s="44" t="n">
        <f aca="false">AB25-AB30</f>
        <v>0</v>
      </c>
      <c r="AC33" s="44" t="n">
        <f aca="false">AC25-AC30</f>
        <v>0</v>
      </c>
      <c r="AD33" s="44" t="n">
        <f aca="false">AD25-AD30</f>
        <v>0</v>
      </c>
      <c r="AE33" s="44" t="n">
        <f aca="false">AE25-AE30</f>
        <v>0</v>
      </c>
      <c r="AF33" s="44" t="n">
        <f aca="false">AF25-AF30</f>
        <v>0</v>
      </c>
      <c r="AG33" s="44" t="n">
        <f aca="false">AG25-AG30</f>
        <v>0</v>
      </c>
      <c r="AH33" s="44" t="n">
        <f aca="false">AH25-AH30</f>
        <v>0</v>
      </c>
      <c r="AI33" s="44" t="n">
        <f aca="false">AI25-AI30</f>
        <v>0</v>
      </c>
      <c r="AJ33" s="44" t="n">
        <f aca="false">AJ25-AJ30</f>
        <v>0</v>
      </c>
      <c r="AK33" s="44" t="n">
        <f aca="false">AK25-AK30</f>
        <v>0</v>
      </c>
      <c r="AL33" s="44" t="n">
        <f aca="false">AL25-AL30</f>
        <v>0</v>
      </c>
      <c r="AM33" s="44" t="n">
        <f aca="false">AM25-AM30</f>
        <v>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34"/>
    <col collapsed="false" customWidth="true" hidden="false" outlineLevel="0" max="2" min="2" style="1" width="60"/>
    <col collapsed="false" customWidth="true" hidden="false" outlineLevel="0" max="3" min="3" style="1" width="38"/>
  </cols>
  <sheetData>
    <row r="1" customFormat="false" ht="17.25" hidden="false" customHeight="true" outlineLevel="0" collapsed="false">
      <c r="A1" s="25" t="s">
        <v>52</v>
      </c>
    </row>
    <row r="3" customFormat="false" ht="15" hidden="false" customHeight="true" outlineLevel="0" collapsed="false">
      <c r="A3" s="26" t="s">
        <v>53</v>
      </c>
      <c r="B3" s="26" t="s">
        <v>54</v>
      </c>
      <c r="C3" s="26" t="s">
        <v>55</v>
      </c>
    </row>
    <row r="4" customFormat="false" ht="15" hidden="false" customHeight="true" outlineLevel="0" collapsed="false">
      <c r="A4" s="27" t="s">
        <v>56</v>
      </c>
      <c r="B4" s="27" t="s">
        <v>57</v>
      </c>
      <c r="C4" s="27" t="s">
        <v>58</v>
      </c>
    </row>
    <row r="5" customFormat="false" ht="15" hidden="false" customHeight="true" outlineLevel="0" collapsed="false">
      <c r="A5" s="27" t="s">
        <v>59</v>
      </c>
      <c r="B5" s="27" t="s">
        <v>60</v>
      </c>
      <c r="C5" s="27" t="s">
        <v>61</v>
      </c>
    </row>
    <row r="6" customFormat="false" ht="15" hidden="false" customHeight="true" outlineLevel="0" collapsed="false">
      <c r="A6" s="27" t="s">
        <v>62</v>
      </c>
      <c r="B6" s="27" t="s">
        <v>63</v>
      </c>
      <c r="C6" s="27" t="s">
        <v>64</v>
      </c>
    </row>
    <row r="7" customFormat="false" ht="15" hidden="false" customHeight="true" outlineLevel="0" collapsed="false">
      <c r="A7" s="27" t="s">
        <v>65</v>
      </c>
      <c r="B7" s="27" t="s">
        <v>66</v>
      </c>
      <c r="C7" s="27" t="s">
        <v>67</v>
      </c>
    </row>
    <row r="8" customFormat="false" ht="15" hidden="false" customHeight="true" outlineLevel="0" collapsed="false">
      <c r="A8" s="27" t="s">
        <v>68</v>
      </c>
      <c r="B8" s="27" t="s">
        <v>69</v>
      </c>
      <c r="C8" s="27"/>
    </row>
    <row r="9" customFormat="false" ht="15" hidden="false" customHeight="true" outlineLevel="0" collapsed="false">
      <c r="A9" s="27" t="s">
        <v>70</v>
      </c>
      <c r="B9" s="27" t="s">
        <v>71</v>
      </c>
      <c r="C9" s="27"/>
    </row>
    <row r="10" customFormat="false" ht="15" hidden="false" customHeight="true" outlineLevel="0" collapsed="false">
      <c r="A10" s="27" t="s">
        <v>72</v>
      </c>
      <c r="B10" s="27" t="s">
        <v>73</v>
      </c>
      <c r="C10" s="27"/>
    </row>
    <row r="11" customFormat="false" ht="15" hidden="false" customHeight="true" outlineLevel="0" collapsed="false">
      <c r="A11" s="27" t="s">
        <v>74</v>
      </c>
      <c r="B11" s="27" t="s">
        <v>75</v>
      </c>
      <c r="C11" s="27"/>
    </row>
    <row r="12" customFormat="false" ht="15" hidden="false" customHeight="true" outlineLevel="0" collapsed="false">
      <c r="A12" s="27" t="s">
        <v>76</v>
      </c>
      <c r="B12" s="27" t="s">
        <v>77</v>
      </c>
      <c r="C12" s="27"/>
    </row>
    <row r="13" customFormat="false" ht="15" hidden="false" customHeight="true" outlineLevel="0" collapsed="false">
      <c r="A13" s="27" t="s">
        <v>78</v>
      </c>
      <c r="B13" s="27" t="s">
        <v>79</v>
      </c>
      <c r="C13" s="27"/>
    </row>
    <row r="14" customFormat="false" ht="15" hidden="false" customHeight="true" outlineLevel="0" collapsed="false">
      <c r="A14" s="27" t="s">
        <v>80</v>
      </c>
      <c r="B14" s="27" t="s">
        <v>81</v>
      </c>
      <c r="C14" s="27"/>
    </row>
    <row r="15" customFormat="false" ht="15" hidden="false" customHeight="true" outlineLevel="0" collapsed="false">
      <c r="A15" s="27" t="s">
        <v>82</v>
      </c>
      <c r="B15" s="27" t="s">
        <v>83</v>
      </c>
      <c r="C15" s="27"/>
    </row>
    <row r="18" customFormat="false" ht="15" hidden="false" customHeight="true" outlineLevel="0" collapsed="false">
      <c r="A18" s="28" t="s">
        <v>84</v>
      </c>
    </row>
    <row r="19" customFormat="false" ht="60" hidden="false" customHeight="true" outlineLevel="0" collapsed="false">
      <c r="A19" s="29" t="s">
        <v>85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6CC66"/>
    <pageSetUpPr fitToPage="false"/>
  </sheetPr>
  <dimension ref="A1:I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36"/>
    <col collapsed="false" customWidth="true" hidden="false" outlineLevel="0" max="11" min="2" style="1" width="16"/>
  </cols>
  <sheetData>
    <row r="1" customFormat="false" ht="17.25" hidden="false" customHeight="true" outlineLevel="0" collapsed="false">
      <c r="A1" s="25" t="s">
        <v>472</v>
      </c>
      <c r="B1" s="3"/>
      <c r="C1" s="3"/>
      <c r="D1" s="3"/>
      <c r="E1" s="3"/>
      <c r="F1" s="3"/>
      <c r="G1" s="3"/>
      <c r="H1" s="3"/>
      <c r="I1" s="3"/>
    </row>
    <row r="3" customFormat="false" ht="15" hidden="false" customHeight="true" outlineLevel="0" collapsed="false">
      <c r="A3" s="8" t="s">
        <v>473</v>
      </c>
    </row>
    <row r="4" customFormat="false" ht="15" hidden="false" customHeight="true" outlineLevel="0" collapsed="false">
      <c r="A4" s="8" t="s">
        <v>474</v>
      </c>
    </row>
    <row r="6" customFormat="false" ht="15" hidden="false" customHeight="true" outlineLevel="0" collapsed="false">
      <c r="A6" s="6" t="s">
        <v>475</v>
      </c>
      <c r="B6" s="7"/>
      <c r="C6" s="7"/>
      <c r="D6" s="7"/>
      <c r="E6" s="7"/>
      <c r="F6" s="7"/>
      <c r="G6" s="7"/>
      <c r="H6" s="7"/>
      <c r="I6" s="7"/>
    </row>
    <row r="7" customFormat="false" ht="15" hidden="false" customHeight="true" outlineLevel="0" collapsed="false">
      <c r="A7" s="47" t="s">
        <v>162</v>
      </c>
      <c r="B7" s="47" t="s">
        <v>476</v>
      </c>
      <c r="C7" s="47" t="s">
        <v>477</v>
      </c>
      <c r="D7" s="47" t="s">
        <v>478</v>
      </c>
      <c r="E7" s="47" t="s">
        <v>479</v>
      </c>
      <c r="F7" s="47" t="s">
        <v>480</v>
      </c>
      <c r="G7" s="47" t="s">
        <v>481</v>
      </c>
      <c r="H7" s="47" t="s">
        <v>482</v>
      </c>
    </row>
    <row r="8" customFormat="false" ht="15" hidden="false" customHeight="true" outlineLevel="0" collapsed="false">
      <c r="A8" s="8" t="s">
        <v>483</v>
      </c>
      <c r="B8" s="73" t="n">
        <v>-0.2</v>
      </c>
      <c r="C8" s="73" t="n">
        <v>-0.1</v>
      </c>
      <c r="D8" s="73" t="n">
        <v>-0.05</v>
      </c>
      <c r="E8" s="73" t="n">
        <v>0</v>
      </c>
      <c r="F8" s="73" t="n">
        <v>0.05</v>
      </c>
      <c r="G8" s="73" t="n">
        <v>0.1</v>
      </c>
      <c r="H8" s="73" t="n">
        <v>0.2</v>
      </c>
    </row>
    <row r="9" customFormat="false" ht="15" hidden="false" customHeight="true" outlineLevel="0" collapsed="false">
      <c r="A9" s="8" t="s">
        <v>484</v>
      </c>
      <c r="B9" s="17" t="n">
        <f aca="false">Solve!$B$17</f>
        <v>2921347.86714605</v>
      </c>
      <c r="C9" s="17" t="n">
        <f aca="false">Solve!$B$17</f>
        <v>2921347.86714605</v>
      </c>
      <c r="D9" s="17" t="n">
        <f aca="false">Solve!$B$17</f>
        <v>2921347.86714605</v>
      </c>
      <c r="E9" s="17" t="n">
        <f aca="false">Solve!$B$17</f>
        <v>2921347.86714605</v>
      </c>
      <c r="F9" s="17" t="n">
        <f aca="false">Solve!$B$17</f>
        <v>2921347.86714605</v>
      </c>
      <c r="G9" s="17" t="n">
        <f aca="false">Solve!$B$17</f>
        <v>2921347.86714605</v>
      </c>
      <c r="H9" s="17" t="n">
        <f aca="false">Solve!$B$17</f>
        <v>2921347.86714605</v>
      </c>
    </row>
    <row r="10" customFormat="false" ht="15" hidden="false" customHeight="true" outlineLevel="0" collapsed="false">
      <c r="A10" s="35" t="s">
        <v>485</v>
      </c>
    </row>
    <row r="12" customFormat="false" ht="15" hidden="false" customHeight="true" outlineLevel="0" collapsed="false">
      <c r="A12" s="6" t="s">
        <v>486</v>
      </c>
      <c r="B12" s="7"/>
      <c r="C12" s="7"/>
      <c r="D12" s="7"/>
      <c r="E12" s="7"/>
      <c r="F12" s="7"/>
      <c r="G12" s="7"/>
      <c r="H12" s="7"/>
      <c r="I12" s="7"/>
    </row>
    <row r="13" customFormat="false" ht="15" hidden="false" customHeight="true" outlineLevel="0" collapsed="false">
      <c r="A13" s="47" t="s">
        <v>162</v>
      </c>
      <c r="B13" s="47" t="s">
        <v>476</v>
      </c>
      <c r="C13" s="47" t="s">
        <v>477</v>
      </c>
      <c r="D13" s="47" t="s">
        <v>478</v>
      </c>
      <c r="E13" s="47" t="s">
        <v>479</v>
      </c>
      <c r="F13" s="47" t="s">
        <v>480</v>
      </c>
      <c r="G13" s="47" t="s">
        <v>481</v>
      </c>
      <c r="H13" s="47" t="s">
        <v>482</v>
      </c>
    </row>
    <row r="14" customFormat="false" ht="15" hidden="false" customHeight="true" outlineLevel="0" collapsed="false">
      <c r="A14" s="8" t="s">
        <v>487</v>
      </c>
      <c r="B14" s="73" t="n">
        <v>-0.2</v>
      </c>
      <c r="C14" s="73" t="n">
        <v>-0.1</v>
      </c>
      <c r="D14" s="73" t="n">
        <v>-0.05</v>
      </c>
      <c r="E14" s="73" t="n">
        <v>0</v>
      </c>
      <c r="F14" s="73" t="n">
        <v>0.05</v>
      </c>
      <c r="G14" s="73" t="n">
        <v>0.1</v>
      </c>
      <c r="H14" s="73" t="n">
        <v>0.2</v>
      </c>
    </row>
    <row r="15" customFormat="false" ht="15" hidden="false" customHeight="true" outlineLevel="0" collapsed="false">
      <c r="A15" s="8" t="s">
        <v>484</v>
      </c>
      <c r="B15" s="17" t="n">
        <f aca="false">Solve!$B$17</f>
        <v>2921347.86714605</v>
      </c>
      <c r="C15" s="17" t="n">
        <f aca="false">Solve!$B$17</f>
        <v>2921347.86714605</v>
      </c>
      <c r="D15" s="17" t="n">
        <f aca="false">Solve!$B$17</f>
        <v>2921347.86714605</v>
      </c>
      <c r="E15" s="17" t="n">
        <f aca="false">Solve!$B$17</f>
        <v>2921347.86714605</v>
      </c>
      <c r="F15" s="17" t="n">
        <f aca="false">Solve!$B$17</f>
        <v>2921347.86714605</v>
      </c>
      <c r="G15" s="17" t="n">
        <f aca="false">Solve!$B$17</f>
        <v>2921347.86714605</v>
      </c>
      <c r="H15" s="17" t="n">
        <f aca="false">Solve!$B$17</f>
        <v>2921347.86714605</v>
      </c>
    </row>
    <row r="16" customFormat="false" ht="15" hidden="false" customHeight="true" outlineLevel="0" collapsed="false">
      <c r="A16" s="35" t="s">
        <v>488</v>
      </c>
    </row>
    <row r="18" customFormat="false" ht="15" hidden="false" customHeight="true" outlineLevel="0" collapsed="false">
      <c r="A18" s="6" t="s">
        <v>489</v>
      </c>
      <c r="B18" s="7"/>
      <c r="C18" s="7"/>
      <c r="D18" s="7"/>
      <c r="E18" s="7"/>
      <c r="F18" s="7"/>
      <c r="G18" s="7"/>
      <c r="H18" s="7"/>
      <c r="I18" s="7"/>
    </row>
    <row r="19" customFormat="false" ht="15" hidden="false" customHeight="true" outlineLevel="0" collapsed="false">
      <c r="A19" s="47" t="s">
        <v>162</v>
      </c>
      <c r="B19" s="47" t="s">
        <v>476</v>
      </c>
      <c r="C19" s="47" t="s">
        <v>477</v>
      </c>
      <c r="D19" s="47" t="s">
        <v>478</v>
      </c>
      <c r="E19" s="47" t="s">
        <v>479</v>
      </c>
      <c r="F19" s="47" t="s">
        <v>480</v>
      </c>
      <c r="G19" s="47" t="s">
        <v>481</v>
      </c>
      <c r="H19" s="47" t="s">
        <v>482</v>
      </c>
    </row>
    <row r="20" customFormat="false" ht="15" hidden="false" customHeight="true" outlineLevel="0" collapsed="false">
      <c r="A20" s="8" t="s">
        <v>490</v>
      </c>
      <c r="B20" s="73" t="n">
        <v>-0.2</v>
      </c>
      <c r="C20" s="73" t="n">
        <v>-0.1</v>
      </c>
      <c r="D20" s="73" t="n">
        <v>-0.05</v>
      </c>
      <c r="E20" s="73" t="n">
        <v>0</v>
      </c>
      <c r="F20" s="73" t="n">
        <v>0.05</v>
      </c>
      <c r="G20" s="73" t="n">
        <v>0.1</v>
      </c>
      <c r="H20" s="73" t="n">
        <v>0.2</v>
      </c>
    </row>
    <row r="21" customFormat="false" ht="15" hidden="false" customHeight="true" outlineLevel="0" collapsed="false">
      <c r="A21" s="8" t="s">
        <v>484</v>
      </c>
      <c r="B21" s="17" t="n">
        <f aca="false">Solve!$B$17</f>
        <v>2921347.86714605</v>
      </c>
      <c r="C21" s="17" t="n">
        <f aca="false">Solve!$B$17</f>
        <v>2921347.86714605</v>
      </c>
      <c r="D21" s="17" t="n">
        <f aca="false">Solve!$B$17</f>
        <v>2921347.86714605</v>
      </c>
      <c r="E21" s="17" t="n">
        <f aca="false">Solve!$B$17</f>
        <v>2921347.86714605</v>
      </c>
      <c r="F21" s="17" t="n">
        <f aca="false">Solve!$B$17</f>
        <v>2921347.86714605</v>
      </c>
      <c r="G21" s="17" t="n">
        <f aca="false">Solve!$B$17</f>
        <v>2921347.86714605</v>
      </c>
      <c r="H21" s="17" t="n">
        <f aca="false">Solve!$B$17</f>
        <v>2921347.86714605</v>
      </c>
    </row>
    <row r="22" customFormat="false" ht="15" hidden="false" customHeight="true" outlineLevel="0" collapsed="false">
      <c r="A22" s="35" t="s">
        <v>491</v>
      </c>
    </row>
    <row r="24" customFormat="false" ht="15" hidden="false" customHeight="true" outlineLevel="0" collapsed="false">
      <c r="A24" s="14" t="s">
        <v>492</v>
      </c>
      <c r="B24" s="15"/>
      <c r="C24" s="15"/>
      <c r="D24" s="15"/>
      <c r="E24" s="15"/>
      <c r="F24" s="15"/>
      <c r="G24" s="15"/>
      <c r="H24" s="15"/>
      <c r="I24" s="15"/>
    </row>
    <row r="25" customFormat="false" ht="15" hidden="false" customHeight="true" outlineLevel="0" collapsed="false">
      <c r="A25" s="8" t="s">
        <v>493</v>
      </c>
    </row>
    <row r="26" customFormat="false" ht="15" hidden="false" customHeight="true" outlineLevel="0" collapsed="false">
      <c r="A26" s="8" t="s">
        <v>494</v>
      </c>
    </row>
    <row r="27" customFormat="false" ht="15" hidden="false" customHeight="true" outlineLevel="0" collapsed="false">
      <c r="A27" s="8" t="s">
        <v>495</v>
      </c>
    </row>
    <row r="28" customFormat="false" ht="15" hidden="false" customHeight="true" outlineLevel="0" collapsed="false">
      <c r="A28" s="8" t="s">
        <v>496</v>
      </c>
    </row>
    <row r="29" customFormat="false" ht="15" hidden="false" customHeight="true" outlineLevel="0" collapsed="false">
      <c r="A29" s="8" t="s">
        <v>497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6CC66"/>
    <pageSetUpPr fitToPage="false"/>
  </sheetPr>
  <dimension ref="A1:G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50"/>
    <col collapsed="false" customWidth="true" hidden="false" outlineLevel="0" max="2" min="2" style="1" width="22"/>
    <col collapsed="false" customWidth="true" hidden="false" outlineLevel="0" max="3" min="3" style="1" width="70"/>
  </cols>
  <sheetData>
    <row r="1" customFormat="false" ht="17.25" hidden="false" customHeight="true" outlineLevel="0" collapsed="false">
      <c r="A1" s="25" t="s">
        <v>498</v>
      </c>
      <c r="B1" s="3"/>
      <c r="C1" s="3"/>
      <c r="D1" s="3"/>
      <c r="E1" s="3"/>
      <c r="F1" s="3"/>
      <c r="G1" s="3"/>
    </row>
    <row r="3" customFormat="false" ht="15" hidden="false" customHeight="true" outlineLevel="0" collapsed="false">
      <c r="A3" s="74" t="s">
        <v>499</v>
      </c>
      <c r="B3" s="74" t="s">
        <v>500</v>
      </c>
      <c r="C3" s="74" t="s">
        <v>501</v>
      </c>
    </row>
    <row r="4" customFormat="false" ht="36" hidden="false" customHeight="true" outlineLevel="0" collapsed="false">
      <c r="A4" s="75" t="s">
        <v>502</v>
      </c>
      <c r="B4" s="76" t="n">
        <f aca="false">Solve!B6</f>
        <v>2921347.86714605</v>
      </c>
      <c r="C4" s="75" t="s">
        <v>503</v>
      </c>
    </row>
    <row r="5" customFormat="false" ht="36" hidden="false" customHeight="true" outlineLevel="0" collapsed="false">
      <c r="A5" s="75" t="s">
        <v>504</v>
      </c>
      <c r="B5" s="75" t="s">
        <v>505</v>
      </c>
      <c r="C5" s="75" t="s">
        <v>506</v>
      </c>
    </row>
    <row r="6" customFormat="false" ht="36" hidden="false" customHeight="true" outlineLevel="0" collapsed="false">
      <c r="A6" s="75" t="s">
        <v>507</v>
      </c>
      <c r="B6" s="75" t="s">
        <v>508</v>
      </c>
      <c r="C6" s="75" t="s">
        <v>509</v>
      </c>
    </row>
    <row r="7" customFormat="false" ht="36" hidden="false" customHeight="true" outlineLevel="0" collapsed="false">
      <c r="A7" s="75" t="s">
        <v>510</v>
      </c>
      <c r="B7" s="75" t="s">
        <v>511</v>
      </c>
      <c r="C7" s="75" t="s">
        <v>512</v>
      </c>
    </row>
    <row r="8" customFormat="false" ht="36" hidden="false" customHeight="true" outlineLevel="0" collapsed="false">
      <c r="A8" s="75" t="s">
        <v>513</v>
      </c>
      <c r="B8" s="75" t="s">
        <v>514</v>
      </c>
      <c r="C8" s="75" t="s">
        <v>515</v>
      </c>
    </row>
    <row r="9" customFormat="false" ht="36" hidden="false" customHeight="true" outlineLevel="0" collapsed="false">
      <c r="A9" s="75" t="s">
        <v>516</v>
      </c>
      <c r="B9" s="75" t="s">
        <v>517</v>
      </c>
      <c r="C9" s="75" t="s">
        <v>518</v>
      </c>
    </row>
    <row r="10" customFormat="false" ht="36" hidden="false" customHeight="true" outlineLevel="0" collapsed="false">
      <c r="A10" s="75" t="s">
        <v>519</v>
      </c>
      <c r="B10" s="75" t="s">
        <v>520</v>
      </c>
      <c r="C10" s="75" t="s">
        <v>521</v>
      </c>
    </row>
    <row r="11" customFormat="false" ht="36" hidden="false" customHeight="true" outlineLevel="0" collapsed="false">
      <c r="A11" s="75" t="s">
        <v>522</v>
      </c>
      <c r="B11" s="75" t="s">
        <v>523</v>
      </c>
      <c r="C11" s="75" t="s">
        <v>524</v>
      </c>
    </row>
    <row r="12" customFormat="false" ht="36" hidden="false" customHeight="true" outlineLevel="0" collapsed="false">
      <c r="A12" s="75" t="s">
        <v>525</v>
      </c>
      <c r="B12" s="75" t="s">
        <v>526</v>
      </c>
      <c r="C12" s="75" t="s">
        <v>527</v>
      </c>
    </row>
    <row r="13" customFormat="false" ht="36" hidden="false" customHeight="true" outlineLevel="0" collapsed="false">
      <c r="A13" s="75" t="s">
        <v>528</v>
      </c>
      <c r="B13" s="75" t="s">
        <v>529</v>
      </c>
      <c r="C13" s="75" t="s">
        <v>530</v>
      </c>
    </row>
    <row r="14" customFormat="false" ht="36" hidden="false" customHeight="true" outlineLevel="0" collapsed="false">
      <c r="A14" s="75" t="s">
        <v>531</v>
      </c>
      <c r="B14" s="77" t="n">
        <f aca="false">Equity!B20</f>
        <v>0.0718534867215575</v>
      </c>
      <c r="C14" s="75" t="s">
        <v>532</v>
      </c>
    </row>
    <row r="15" customFormat="false" ht="36" hidden="false" customHeight="true" outlineLevel="0" collapsed="false">
      <c r="A15" s="75" t="s">
        <v>533</v>
      </c>
      <c r="B15" s="75" t="s">
        <v>534</v>
      </c>
      <c r="C15" s="75" t="s">
        <v>535</v>
      </c>
    </row>
    <row r="18" customFormat="false" ht="15" hidden="false" customHeight="true" outlineLevel="0" collapsed="false">
      <c r="A18" s="14" t="s">
        <v>536</v>
      </c>
    </row>
    <row r="19" customFormat="false" ht="15" hidden="false" customHeight="true" outlineLevel="0" collapsed="false">
      <c r="A19" s="8" t="s">
        <v>537</v>
      </c>
    </row>
    <row r="20" customFormat="false" ht="15" hidden="false" customHeight="true" outlineLevel="0" collapsed="false">
      <c r="A20" s="8" t="s">
        <v>538</v>
      </c>
    </row>
    <row r="21" customFormat="false" ht="15" hidden="false" customHeight="true" outlineLevel="0" collapsed="false">
      <c r="A21" s="8" t="s">
        <v>539</v>
      </c>
    </row>
    <row r="22" customFormat="false" ht="15" hidden="false" customHeight="true" outlineLevel="0" collapsed="false">
      <c r="A22" s="8" t="s">
        <v>540</v>
      </c>
    </row>
    <row r="23" customFormat="false" ht="15" hidden="false" customHeight="true" outlineLevel="0" collapsed="false">
      <c r="A23" s="8" t="s">
        <v>541</v>
      </c>
    </row>
    <row r="24" customFormat="false" ht="15" hidden="false" customHeight="true" outlineLevel="0" collapsed="false">
      <c r="A24" s="8" t="s">
        <v>542</v>
      </c>
    </row>
    <row r="25" customFormat="false" ht="15" hidden="false" customHeight="true" outlineLevel="0" collapsed="false">
      <c r="A25" s="8" t="s">
        <v>543</v>
      </c>
    </row>
    <row r="26" customFormat="false" ht="15" hidden="false" customHeight="true" outlineLevel="0" collapsed="false">
      <c r="A26" s="8" t="s">
        <v>544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6666"/>
    <pageSetUpPr fitToPage="false"/>
  </sheetPr>
  <dimension ref="A1:G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48"/>
    <col collapsed="false" customWidth="true" hidden="false" outlineLevel="0" max="3" min="2" style="1" width="18"/>
    <col collapsed="false" customWidth="true" hidden="false" outlineLevel="0" max="4" min="4" style="1" width="14"/>
  </cols>
  <sheetData>
    <row r="1" customFormat="false" ht="17.25" hidden="false" customHeight="true" outlineLevel="0" collapsed="false">
      <c r="A1" s="78" t="s">
        <v>545</v>
      </c>
      <c r="B1" s="79"/>
      <c r="C1" s="79"/>
      <c r="D1" s="79"/>
      <c r="E1" s="79"/>
      <c r="F1" s="79"/>
      <c r="G1" s="79"/>
    </row>
    <row r="3" customFormat="false" ht="17.25" hidden="false" customHeight="true" outlineLevel="0" collapsed="false">
      <c r="A3" s="4" t="s">
        <v>546</v>
      </c>
      <c r="B3" s="80" t="n">
        <f aca="false">COUNTIF(D7:D20,FALSE())</f>
        <v>0</v>
      </c>
      <c r="C3" s="8" t="s">
        <v>547</v>
      </c>
    </row>
    <row r="5" customFormat="false" ht="15" hidden="false" customHeight="true" outlineLevel="0" collapsed="false">
      <c r="A5" s="47" t="s">
        <v>548</v>
      </c>
      <c r="B5" s="47" t="s">
        <v>180</v>
      </c>
      <c r="C5" s="47" t="s">
        <v>549</v>
      </c>
      <c r="D5" s="47" t="s">
        <v>550</v>
      </c>
    </row>
    <row r="7" customFormat="false" ht="15" hidden="false" customHeight="true" outlineLevel="0" collapsed="false">
      <c r="A7" s="8" t="s">
        <v>551</v>
      </c>
      <c r="B7" s="64" t="n">
        <f aca="false">ABS('S&amp;U'!B21)</f>
        <v>0.405020583420992</v>
      </c>
      <c r="C7" s="64" t="n">
        <v>50000</v>
      </c>
      <c r="D7" s="23" t="b">
        <f aca="false">B7&lt;=C7</f>
        <v>1</v>
      </c>
    </row>
    <row r="8" customFormat="false" ht="15" hidden="false" customHeight="true" outlineLevel="0" collapsed="false">
      <c r="A8" s="8" t="s">
        <v>552</v>
      </c>
      <c r="B8" s="64" t="n">
        <f aca="false">ABS(FS!E33)</f>
        <v>0</v>
      </c>
      <c r="C8" s="64" t="n">
        <v>1</v>
      </c>
      <c r="D8" s="23" t="b">
        <f aca="false">B8&lt;=C8</f>
        <v>1</v>
      </c>
    </row>
    <row r="9" customFormat="false" ht="15" hidden="false" customHeight="true" outlineLevel="0" collapsed="false">
      <c r="A9" s="8" t="s">
        <v>553</v>
      </c>
      <c r="B9" s="64" t="n">
        <f aca="false">ABS(FS!AM33)</f>
        <v>0</v>
      </c>
      <c r="C9" s="64" t="n">
        <v>1</v>
      </c>
      <c r="D9" s="23" t="b">
        <f aca="false">B9&lt;=C9</f>
        <v>1</v>
      </c>
    </row>
    <row r="10" customFormat="false" ht="15" hidden="false" customHeight="true" outlineLevel="0" collapsed="false">
      <c r="A10" s="8" t="s">
        <v>554</v>
      </c>
      <c r="B10" s="65" t="n">
        <f aca="false">ABS(SUM(InpC!B59:B64)-1)</f>
        <v>0</v>
      </c>
      <c r="C10" s="65" t="n">
        <v>0.0001</v>
      </c>
      <c r="D10" s="23" t="b">
        <f aca="false">B10&lt;=C10</f>
        <v>1</v>
      </c>
    </row>
    <row r="11" customFormat="false" ht="15" hidden="false" customHeight="true" outlineLevel="0" collapsed="false">
      <c r="A11" s="8" t="s">
        <v>555</v>
      </c>
      <c r="B11" s="65" t="n">
        <f aca="false">ABS(Solve!B7-Solve!B8)</f>
        <v>2.22910977176749E-009</v>
      </c>
      <c r="C11" s="65" t="n">
        <v>0.005</v>
      </c>
      <c r="D11" s="23" t="b">
        <f aca="false">B11&lt;=C11</f>
        <v>1</v>
      </c>
    </row>
    <row r="12" customFormat="false" ht="15" hidden="false" customHeight="true" outlineLevel="0" collapsed="false">
      <c r="A12" s="8" t="s">
        <v>556</v>
      </c>
      <c r="B12" s="64" t="n">
        <f aca="false">IF(Equity!B23&gt;0,0,1)</f>
        <v>0</v>
      </c>
      <c r="C12" s="64" t="n">
        <v>0.5</v>
      </c>
      <c r="D12" s="23" t="b">
        <f aca="false">B12&lt;=C12</f>
        <v>1</v>
      </c>
    </row>
    <row r="13" customFormat="false" ht="15" hidden="false" customHeight="true" outlineLevel="0" collapsed="false">
      <c r="A13" s="8" t="s">
        <v>557</v>
      </c>
      <c r="B13" s="64" t="n">
        <f aca="false">IF(Solve!B6&gt;=0,0,1)</f>
        <v>0</v>
      </c>
      <c r="C13" s="64" t="n">
        <v>0.5</v>
      </c>
      <c r="D13" s="23" t="b">
        <f aca="false">B13&lt;=C13</f>
        <v>1</v>
      </c>
    </row>
    <row r="14" customFormat="false" ht="15" hidden="false" customHeight="true" outlineLevel="0" collapsed="false">
      <c r="A14" s="8" t="s">
        <v>558</v>
      </c>
      <c r="B14" s="64" t="n">
        <f aca="false">IF('S&amp;U'!B13&gt;0,0,1)</f>
        <v>0</v>
      </c>
      <c r="C14" s="64" t="n">
        <v>0.5</v>
      </c>
      <c r="D14" s="23" t="b">
        <f aca="false">B14&lt;=C14</f>
        <v>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CFFFF"/>
    <pageSetUpPr fitToPage="false"/>
  </sheetPr>
  <dimension ref="A1:D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12"/>
    <col collapsed="false" customWidth="true" hidden="false" outlineLevel="0" max="2" min="2" style="1" width="14"/>
    <col collapsed="false" customWidth="true" hidden="false" outlineLevel="0" max="3" min="3" style="1" width="18"/>
    <col collapsed="false" customWidth="true" hidden="false" outlineLevel="0" max="4" min="4" style="1" width="80"/>
  </cols>
  <sheetData>
    <row r="1" customFormat="false" ht="17.25" hidden="false" customHeight="true" outlineLevel="0" collapsed="false">
      <c r="A1" s="25" t="s">
        <v>75</v>
      </c>
    </row>
    <row r="3" customFormat="false" ht="15" hidden="false" customHeight="true" outlineLevel="0" collapsed="false">
      <c r="A3" s="47" t="s">
        <v>559</v>
      </c>
      <c r="B3" s="47" t="s">
        <v>206</v>
      </c>
      <c r="C3" s="47" t="s">
        <v>560</v>
      </c>
      <c r="D3" s="47" t="s">
        <v>561</v>
      </c>
    </row>
    <row r="4" customFormat="false" ht="15" hidden="false" customHeight="true" outlineLevel="0" collapsed="false">
      <c r="A4" s="8" t="s">
        <v>562</v>
      </c>
      <c r="B4" s="81" t="n">
        <v>46145</v>
      </c>
      <c r="C4" s="8" t="s">
        <v>563</v>
      </c>
      <c r="D4" s="8" t="s">
        <v>564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99"/>
    <pageSetUpPr fitToPage="false"/>
  </sheetPr>
  <dimension ref="A1:H6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38"/>
    <col collapsed="false" customWidth="true" hidden="false" outlineLevel="0" max="2" min="2" style="1" width="14"/>
    <col collapsed="false" customWidth="true" hidden="false" outlineLevel="0" max="3" min="3" style="1" width="12"/>
    <col collapsed="false" customWidth="true" hidden="false" outlineLevel="0" max="4" min="4" style="1" width="28"/>
    <col collapsed="false" customWidth="true" hidden="false" outlineLevel="0" max="7" min="5" style="1" width="14"/>
    <col collapsed="false" customWidth="true" hidden="false" outlineLevel="0" max="8" min="8" style="1" width="10"/>
  </cols>
  <sheetData>
    <row r="1" customFormat="false" ht="17.25" hidden="false" customHeight="true" outlineLevel="0" collapsed="false">
      <c r="A1" s="25" t="s">
        <v>86</v>
      </c>
      <c r="B1" s="3"/>
      <c r="C1" s="3"/>
      <c r="D1" s="3"/>
      <c r="E1" s="3"/>
      <c r="F1" s="3"/>
      <c r="G1" s="3"/>
      <c r="H1" s="3"/>
    </row>
    <row r="2" customFormat="false" ht="15" hidden="false" customHeight="true" outlineLevel="0" collapsed="false">
      <c r="A2" s="4" t="s">
        <v>3</v>
      </c>
      <c r="B2" s="30" t="s">
        <v>87</v>
      </c>
      <c r="C2" s="8" t="s">
        <v>88</v>
      </c>
    </row>
    <row r="4" customFormat="false" ht="15" hidden="false" customHeight="true" outlineLevel="0" collapsed="false">
      <c r="A4" s="31" t="s">
        <v>89</v>
      </c>
      <c r="B4" s="31" t="s">
        <v>90</v>
      </c>
      <c r="C4" s="31" t="s">
        <v>91</v>
      </c>
      <c r="D4" s="31" t="s">
        <v>92</v>
      </c>
      <c r="E4" s="31" t="s">
        <v>87</v>
      </c>
      <c r="F4" s="31" t="s">
        <v>93</v>
      </c>
      <c r="G4" s="31" t="s">
        <v>94</v>
      </c>
      <c r="H4" s="31" t="s">
        <v>95</v>
      </c>
    </row>
    <row r="5" customFormat="false" ht="15" hidden="false" customHeight="true" outlineLevel="0" collapsed="false">
      <c r="A5" s="32" t="s">
        <v>96</v>
      </c>
      <c r="B5" s="7"/>
      <c r="C5" s="7"/>
      <c r="D5" s="7"/>
      <c r="E5" s="7"/>
      <c r="F5" s="7"/>
      <c r="G5" s="7"/>
      <c r="H5" s="7"/>
    </row>
    <row r="6" customFormat="false" ht="15" hidden="false" customHeight="true" outlineLevel="0" collapsed="false">
      <c r="A6" s="8" t="s">
        <v>5</v>
      </c>
      <c r="B6" s="33" t="n">
        <f aca="false">INDEX(E6:G6,1,MATCH($B$2,$E$4:$G$4,0))</f>
        <v>20</v>
      </c>
      <c r="C6" s="10" t="s">
        <v>6</v>
      </c>
      <c r="D6" s="8" t="s">
        <v>97</v>
      </c>
      <c r="E6" s="34" t="n">
        <v>20</v>
      </c>
      <c r="F6" s="34" t="n">
        <v>20</v>
      </c>
      <c r="G6" s="34" t="n">
        <v>20</v>
      </c>
      <c r="H6" s="35" t="str">
        <f aca="false">IF(COUNTIF(E6:G6,E6)=3,"","Varies")</f>
        <v/>
      </c>
    </row>
    <row r="7" customFormat="false" ht="15" hidden="false" customHeight="true" outlineLevel="0" collapsed="false">
      <c r="A7" s="8" t="s">
        <v>98</v>
      </c>
      <c r="B7" s="36" t="n">
        <f aca="false">INDEX(E7:G7,1,MATCH($B$2,$E$4:$G$4,0))</f>
        <v>1.3</v>
      </c>
      <c r="C7" s="10" t="s">
        <v>9</v>
      </c>
      <c r="D7" s="8" t="s">
        <v>97</v>
      </c>
      <c r="E7" s="37" t="n">
        <v>1.3</v>
      </c>
      <c r="F7" s="37" t="n">
        <v>1.3</v>
      </c>
      <c r="G7" s="37" t="n">
        <v>1.3</v>
      </c>
      <c r="H7" s="35" t="str">
        <f aca="false">IF(COUNTIF(E7:G7,E7)=3,"","Varies")</f>
        <v/>
      </c>
    </row>
    <row r="8" customFormat="false" ht="15" hidden="false" customHeight="true" outlineLevel="0" collapsed="false">
      <c r="A8" s="32" t="s">
        <v>99</v>
      </c>
      <c r="B8" s="7"/>
      <c r="C8" s="7"/>
      <c r="D8" s="7"/>
      <c r="E8" s="7"/>
      <c r="F8" s="7"/>
      <c r="G8" s="7"/>
      <c r="H8" s="7"/>
    </row>
    <row r="9" customFormat="false" ht="15" hidden="false" customHeight="true" outlineLevel="0" collapsed="false">
      <c r="A9" s="8" t="s">
        <v>100</v>
      </c>
      <c r="B9" s="38" t="n">
        <f aca="false">INDEX(E9:G9,1,MATCH($B$2,$E$4:$G$4,0))</f>
        <v>45658</v>
      </c>
      <c r="C9" s="10" t="s">
        <v>101</v>
      </c>
      <c r="D9" s="8" t="s">
        <v>97</v>
      </c>
      <c r="E9" s="39" t="n">
        <v>45658</v>
      </c>
      <c r="F9" s="39" t="n">
        <v>45658</v>
      </c>
      <c r="G9" s="39" t="n">
        <v>45658</v>
      </c>
      <c r="H9" s="35" t="str">
        <f aca="false">IF(COUNTIF(E9:G9,E9)=3,"","Varies")</f>
        <v/>
      </c>
    </row>
    <row r="10" customFormat="false" ht="15" hidden="false" customHeight="true" outlineLevel="0" collapsed="false">
      <c r="A10" s="8" t="s">
        <v>102</v>
      </c>
      <c r="B10" s="33" t="n">
        <f aca="false">INDEX(E10:G10,1,MATCH($B$2,$E$4:$G$4,0))</f>
        <v>12</v>
      </c>
      <c r="C10" s="10" t="s">
        <v>103</v>
      </c>
      <c r="D10" s="8" t="s">
        <v>97</v>
      </c>
      <c r="E10" s="34" t="n">
        <v>12</v>
      </c>
      <c r="F10" s="34" t="n">
        <v>12</v>
      </c>
      <c r="G10" s="34" t="n">
        <v>12</v>
      </c>
      <c r="H10" s="35" t="str">
        <f aca="false">IF(COUNTIF(E10:G10,E10)=3,"","Varies")</f>
        <v/>
      </c>
    </row>
    <row r="11" customFormat="false" ht="15" hidden="false" customHeight="true" outlineLevel="0" collapsed="false">
      <c r="A11" s="8" t="s">
        <v>10</v>
      </c>
      <c r="B11" s="33" t="n">
        <f aca="false">INDEX(E11:G11,1,MATCH($B$2,$E$4:$G$4,0))</f>
        <v>20</v>
      </c>
      <c r="C11" s="10" t="s">
        <v>104</v>
      </c>
      <c r="D11" s="8" t="s">
        <v>105</v>
      </c>
      <c r="E11" s="34" t="n">
        <v>20</v>
      </c>
      <c r="F11" s="34" t="n">
        <v>20</v>
      </c>
      <c r="G11" s="34" t="n">
        <v>20</v>
      </c>
      <c r="H11" s="35" t="str">
        <f aca="false">IF(COUNTIF(E11:G11,E11)=3,"","Varies")</f>
        <v/>
      </c>
    </row>
    <row r="12" customFormat="false" ht="15" hidden="false" customHeight="true" outlineLevel="0" collapsed="false">
      <c r="A12" s="8" t="s">
        <v>7</v>
      </c>
      <c r="B12" s="33" t="n">
        <f aca="false">INDEX(E12:G12,1,MATCH($B$2,$E$4:$G$4,0))</f>
        <v>35</v>
      </c>
      <c r="C12" s="10" t="s">
        <v>104</v>
      </c>
      <c r="D12" s="8" t="s">
        <v>106</v>
      </c>
      <c r="E12" s="34" t="n">
        <v>35</v>
      </c>
      <c r="F12" s="34" t="n">
        <v>35</v>
      </c>
      <c r="G12" s="34" t="n">
        <v>35</v>
      </c>
      <c r="H12" s="35" t="str">
        <f aca="false">IF(COUNTIF(E12:G12,E12)=3,"","Varies")</f>
        <v/>
      </c>
    </row>
    <row r="13" customFormat="false" ht="15" hidden="false" customHeight="true" outlineLevel="0" collapsed="false">
      <c r="A13" s="32" t="s">
        <v>107</v>
      </c>
      <c r="B13" s="7"/>
      <c r="C13" s="7"/>
      <c r="D13" s="7"/>
      <c r="E13" s="7"/>
      <c r="F13" s="7"/>
      <c r="G13" s="7"/>
      <c r="H13" s="7"/>
    </row>
    <row r="14" customFormat="false" ht="15" hidden="false" customHeight="true" outlineLevel="0" collapsed="false">
      <c r="A14" s="8" t="s">
        <v>108</v>
      </c>
      <c r="B14" s="33" t="n">
        <f aca="false">INDEX(E14:G14,1,MATCH($B$2,$E$4:$G$4,0))</f>
        <v>58250</v>
      </c>
      <c r="C14" s="10" t="s">
        <v>12</v>
      </c>
      <c r="D14" s="8" t="s">
        <v>109</v>
      </c>
      <c r="E14" s="34" t="n">
        <v>58250</v>
      </c>
      <c r="F14" s="34" t="n">
        <v>58250</v>
      </c>
      <c r="G14" s="34" t="n">
        <v>58250</v>
      </c>
      <c r="H14" s="35" t="str">
        <f aca="false">IF(COUNTIF(E14:G14,E14)=3,"","Varies")</f>
        <v/>
      </c>
    </row>
    <row r="15" customFormat="false" ht="15" hidden="false" customHeight="true" outlineLevel="0" collapsed="false">
      <c r="A15" s="8" t="s">
        <v>14</v>
      </c>
      <c r="B15" s="40" t="n">
        <f aca="false">INDEX(E15:G15,1,MATCH($B$2,$E$4:$G$4,0))</f>
        <v>0.99</v>
      </c>
      <c r="C15" s="10" t="s">
        <v>15</v>
      </c>
      <c r="D15" s="8" t="s">
        <v>110</v>
      </c>
      <c r="E15" s="41" t="n">
        <v>0.99</v>
      </c>
      <c r="F15" s="41" t="n">
        <v>0.97</v>
      </c>
      <c r="G15" s="41" t="n">
        <v>0.99</v>
      </c>
      <c r="H15" s="35" t="str">
        <f aca="false">IF(COUNTIF(E15:G15,E15)=3,"","Varies")</f>
        <v>Varies</v>
      </c>
    </row>
    <row r="16" customFormat="false" ht="15" hidden="false" customHeight="true" outlineLevel="0" collapsed="false">
      <c r="A16" s="8" t="s">
        <v>111</v>
      </c>
      <c r="B16" s="33" t="n">
        <f aca="false">INDEX(E16:G16,1,MATCH($B$2,$E$4:$G$4,0))</f>
        <v>1000</v>
      </c>
      <c r="C16" s="10" t="s">
        <v>12</v>
      </c>
      <c r="D16" s="8" t="s">
        <v>105</v>
      </c>
      <c r="E16" s="34" t="n">
        <v>1000</v>
      </c>
      <c r="F16" s="34" t="n">
        <v>1000</v>
      </c>
      <c r="G16" s="34" t="n">
        <v>1000</v>
      </c>
      <c r="H16" s="35" t="str">
        <f aca="false">IF(COUNTIF(E16:G16,E16)=3,"","Varies")</f>
        <v/>
      </c>
    </row>
    <row r="17" customFormat="false" ht="15" hidden="false" customHeight="true" outlineLevel="0" collapsed="false">
      <c r="A17" s="8" t="s">
        <v>17</v>
      </c>
      <c r="B17" s="40" t="n">
        <f aca="false">INDEX(E17:G17,1,MATCH($B$2,$E$4:$G$4,0))</f>
        <v>0.005</v>
      </c>
      <c r="C17" s="10" t="s">
        <v>15</v>
      </c>
      <c r="D17" s="8" t="s">
        <v>112</v>
      </c>
      <c r="E17" s="41" t="n">
        <v>0.005</v>
      </c>
      <c r="F17" s="41" t="n">
        <v>0.0075</v>
      </c>
      <c r="G17" s="41" t="n">
        <v>0.005</v>
      </c>
      <c r="H17" s="35" t="str">
        <f aca="false">IF(COUNTIF(E17:G17,E17)=3,"","Varies")</f>
        <v>Varies</v>
      </c>
    </row>
    <row r="18" customFormat="false" ht="15" hidden="false" customHeight="true" outlineLevel="0" collapsed="false">
      <c r="A18" s="32" t="s">
        <v>113</v>
      </c>
      <c r="B18" s="7"/>
      <c r="C18" s="7"/>
      <c r="D18" s="7"/>
      <c r="E18" s="7"/>
      <c r="F18" s="7"/>
      <c r="G18" s="7"/>
      <c r="H18" s="7"/>
    </row>
    <row r="19" customFormat="false" ht="15" hidden="false" customHeight="true" outlineLevel="0" collapsed="false">
      <c r="A19" s="8" t="s">
        <v>19</v>
      </c>
      <c r="B19" s="42" t="n">
        <f aca="false">INDEX(E19:G19,1,MATCH($B$2,$E$4:$G$4,0))</f>
        <v>60</v>
      </c>
      <c r="C19" s="10" t="s">
        <v>20</v>
      </c>
      <c r="D19" s="8" t="s">
        <v>105</v>
      </c>
      <c r="E19" s="43" t="n">
        <v>60</v>
      </c>
      <c r="F19" s="43" t="n">
        <v>54</v>
      </c>
      <c r="G19" s="43" t="n">
        <v>60</v>
      </c>
      <c r="H19" s="35" t="str">
        <f aca="false">IF(COUNTIF(E19:G19,E19)=3,"","Varies")</f>
        <v>Varies</v>
      </c>
    </row>
    <row r="20" customFormat="false" ht="15" hidden="false" customHeight="true" outlineLevel="0" collapsed="false">
      <c r="A20" s="8" t="s">
        <v>22</v>
      </c>
      <c r="B20" s="40" t="n">
        <f aca="false">INDEX(E20:G20,1,MATCH($B$2,$E$4:$G$4,0))</f>
        <v>0.01</v>
      </c>
      <c r="C20" s="10" t="s">
        <v>15</v>
      </c>
      <c r="D20" s="8" t="s">
        <v>105</v>
      </c>
      <c r="E20" s="41" t="n">
        <v>0.01</v>
      </c>
      <c r="F20" s="41" t="n">
        <v>0.01</v>
      </c>
      <c r="G20" s="41" t="n">
        <v>0.01</v>
      </c>
      <c r="H20" s="35" t="str">
        <f aca="false">IF(COUNTIF(E20:G20,E20)=3,"","Varies")</f>
        <v/>
      </c>
    </row>
    <row r="21" customFormat="false" ht="15" hidden="false" customHeight="true" outlineLevel="0" collapsed="false">
      <c r="A21" s="8" t="s">
        <v>24</v>
      </c>
      <c r="B21" s="42" t="n">
        <f aca="false">INDEX(E21:G21,1,MATCH($B$2,$E$4:$G$4,0))</f>
        <v>40</v>
      </c>
      <c r="C21" s="10" t="s">
        <v>20</v>
      </c>
      <c r="D21" s="8" t="s">
        <v>114</v>
      </c>
      <c r="E21" s="43" t="n">
        <v>40</v>
      </c>
      <c r="F21" s="43" t="n">
        <v>30</v>
      </c>
      <c r="G21" s="43" t="n">
        <v>40</v>
      </c>
      <c r="H21" s="35" t="str">
        <f aca="false">IF(COUNTIF(E21:G21,E21)=3,"","Varies")</f>
        <v>Varies</v>
      </c>
    </row>
    <row r="22" customFormat="false" ht="15" hidden="false" customHeight="true" outlineLevel="0" collapsed="false">
      <c r="A22" s="32" t="s">
        <v>115</v>
      </c>
      <c r="B22" s="7"/>
      <c r="C22" s="7"/>
      <c r="D22" s="7"/>
      <c r="E22" s="7"/>
      <c r="F22" s="7"/>
      <c r="G22" s="7"/>
      <c r="H22" s="7"/>
    </row>
    <row r="23" customFormat="false" ht="15" hidden="false" customHeight="true" outlineLevel="0" collapsed="false">
      <c r="A23" s="8" t="s">
        <v>116</v>
      </c>
      <c r="B23" s="42" t="n">
        <f aca="false">INDEX(E23:G23,1,MATCH($B$2,$E$4:$G$4,0))</f>
        <v>6.5</v>
      </c>
      <c r="C23" s="10" t="s">
        <v>117</v>
      </c>
      <c r="D23" s="8" t="s">
        <v>118</v>
      </c>
      <c r="E23" s="43" t="n">
        <v>6.5</v>
      </c>
      <c r="F23" s="43" t="n">
        <v>6.5</v>
      </c>
      <c r="G23" s="43" t="n">
        <v>6.5</v>
      </c>
      <c r="H23" s="35" t="str">
        <f aca="false">IF(COUNTIF(E23:G23,E23)=3,"","Varies")</f>
        <v/>
      </c>
    </row>
    <row r="24" customFormat="false" ht="15" hidden="false" customHeight="true" outlineLevel="0" collapsed="false">
      <c r="A24" s="8" t="s">
        <v>119</v>
      </c>
      <c r="B24" s="40" t="n">
        <f aca="false">INDEX(E24:G24,1,MATCH($B$2,$E$4:$G$4,0))</f>
        <v>0.02</v>
      </c>
      <c r="C24" s="10" t="s">
        <v>15</v>
      </c>
      <c r="D24" s="8" t="s">
        <v>118</v>
      </c>
      <c r="E24" s="41" t="n">
        <v>0.02</v>
      </c>
      <c r="F24" s="41" t="n">
        <v>0.02</v>
      </c>
      <c r="G24" s="41" t="n">
        <v>0.02</v>
      </c>
      <c r="H24" s="35" t="str">
        <f aca="false">IF(COUNTIF(E24:G24,E24)=3,"","Varies")</f>
        <v/>
      </c>
    </row>
    <row r="25" customFormat="false" ht="15" hidden="false" customHeight="true" outlineLevel="0" collapsed="false">
      <c r="A25" s="8" t="s">
        <v>120</v>
      </c>
      <c r="B25" s="42" t="n">
        <f aca="false">INDEX(E25:G25,1,MATCH($B$2,$E$4:$G$4,0))</f>
        <v>1500</v>
      </c>
      <c r="C25" s="10" t="s">
        <v>121</v>
      </c>
      <c r="D25" s="8" t="s">
        <v>122</v>
      </c>
      <c r="E25" s="43" t="n">
        <v>1500</v>
      </c>
      <c r="F25" s="43" t="n">
        <v>1500</v>
      </c>
      <c r="G25" s="43" t="n">
        <v>1500</v>
      </c>
      <c r="H25" s="35" t="str">
        <f aca="false">IF(COUNTIF(E25:G25,E25)=3,"","Varies")</f>
        <v/>
      </c>
    </row>
    <row r="26" customFormat="false" ht="15" hidden="false" customHeight="true" outlineLevel="0" collapsed="false">
      <c r="A26" s="8" t="s">
        <v>123</v>
      </c>
      <c r="B26" s="33" t="n">
        <f aca="false">INDEX(E26:G26,1,MATCH($B$2,$E$4:$G$4,0))</f>
        <v>6</v>
      </c>
      <c r="C26" s="10" t="s">
        <v>124</v>
      </c>
      <c r="D26" s="8" t="s">
        <v>125</v>
      </c>
      <c r="E26" s="34" t="n">
        <v>6</v>
      </c>
      <c r="F26" s="34" t="n">
        <v>6</v>
      </c>
      <c r="G26" s="34" t="n">
        <v>6</v>
      </c>
      <c r="H26" s="35" t="str">
        <f aca="false">IF(COUNTIF(E26:G26,E26)=3,"","Varies")</f>
        <v/>
      </c>
    </row>
    <row r="27" customFormat="false" ht="15" hidden="false" customHeight="true" outlineLevel="0" collapsed="false">
      <c r="A27" s="8" t="s">
        <v>126</v>
      </c>
      <c r="B27" s="40" t="n">
        <f aca="false">INDEX(E27:G27,1,MATCH($B$2,$E$4:$G$4,0))</f>
        <v>0.02</v>
      </c>
      <c r="C27" s="10" t="s">
        <v>15</v>
      </c>
      <c r="D27" s="8" t="s">
        <v>122</v>
      </c>
      <c r="E27" s="41" t="n">
        <v>0.02</v>
      </c>
      <c r="F27" s="41" t="n">
        <v>0.02</v>
      </c>
      <c r="G27" s="41" t="n">
        <v>0.02</v>
      </c>
      <c r="H27" s="35" t="str">
        <f aca="false">IF(COUNTIF(E27:G27,E27)=3,"","Varies")</f>
        <v/>
      </c>
    </row>
    <row r="28" customFormat="false" ht="15" hidden="false" customHeight="true" outlineLevel="0" collapsed="false">
      <c r="A28" s="8" t="s">
        <v>127</v>
      </c>
      <c r="B28" s="44" t="n">
        <f aca="false">INDEX(E28:G28,1,MATCH($B$2,$E$4:$G$4,0))</f>
        <v>375000</v>
      </c>
      <c r="C28" s="10" t="s">
        <v>128</v>
      </c>
      <c r="D28" s="8" t="s">
        <v>129</v>
      </c>
      <c r="E28" s="45" t="n">
        <v>375000</v>
      </c>
      <c r="F28" s="45" t="n">
        <v>375000</v>
      </c>
      <c r="G28" s="45" t="n">
        <v>375000</v>
      </c>
      <c r="H28" s="35" t="str">
        <f aca="false">IF(COUNTIF(E28:G28,E28)=3,"","Varies")</f>
        <v/>
      </c>
    </row>
    <row r="29" customFormat="false" ht="15" hidden="false" customHeight="true" outlineLevel="0" collapsed="false">
      <c r="A29" s="8" t="s">
        <v>130</v>
      </c>
      <c r="B29" s="40" t="n">
        <f aca="false">INDEX(E29:G29,1,MATCH($B$2,$E$4:$G$4,0))</f>
        <v>0.02</v>
      </c>
      <c r="C29" s="10" t="s">
        <v>15</v>
      </c>
      <c r="D29" s="8" t="s">
        <v>129</v>
      </c>
      <c r="E29" s="41" t="n">
        <v>0.02</v>
      </c>
      <c r="F29" s="41" t="n">
        <v>0.02</v>
      </c>
      <c r="G29" s="41" t="n">
        <v>0.02</v>
      </c>
      <c r="H29" s="35" t="str">
        <f aca="false">IF(COUNTIF(E29:G29,E29)=3,"","Varies")</f>
        <v/>
      </c>
    </row>
    <row r="30" customFormat="false" ht="15" hidden="false" customHeight="true" outlineLevel="0" collapsed="false">
      <c r="A30" s="8" t="s">
        <v>131</v>
      </c>
      <c r="B30" s="44" t="n">
        <f aca="false">INDEX(E30:G30,1,MATCH($B$2,$E$4:$G$4,0))</f>
        <v>4000000</v>
      </c>
      <c r="C30" s="10" t="s">
        <v>29</v>
      </c>
      <c r="D30" s="8" t="s">
        <v>105</v>
      </c>
      <c r="E30" s="45" t="n">
        <v>4000000</v>
      </c>
      <c r="F30" s="45" t="n">
        <v>4000000</v>
      </c>
      <c r="G30" s="45" t="n">
        <v>4000000</v>
      </c>
      <c r="H30" s="35" t="str">
        <f aca="false">IF(COUNTIF(E30:G30,E30)=3,"","Varies")</f>
        <v/>
      </c>
    </row>
    <row r="31" customFormat="false" ht="15" hidden="false" customHeight="true" outlineLevel="0" collapsed="false">
      <c r="A31" s="8" t="s">
        <v>132</v>
      </c>
      <c r="B31" s="40" t="n">
        <f aca="false">INDEX(E31:G31,1,MATCH($B$2,$E$4:$G$4,0))</f>
        <v>0.02</v>
      </c>
      <c r="C31" s="10" t="s">
        <v>15</v>
      </c>
      <c r="D31" s="8" t="s">
        <v>133</v>
      </c>
      <c r="E31" s="41" t="n">
        <v>0.02</v>
      </c>
      <c r="F31" s="41" t="n">
        <v>0.02</v>
      </c>
      <c r="G31" s="41" t="n">
        <v>0.02</v>
      </c>
      <c r="H31" s="35" t="str">
        <f aca="false">IF(COUNTIF(E31:G31,E31)=3,"","Varies")</f>
        <v/>
      </c>
    </row>
    <row r="32" customFormat="false" ht="15" hidden="false" customHeight="true" outlineLevel="0" collapsed="false">
      <c r="A32" s="8" t="s">
        <v>134</v>
      </c>
      <c r="B32" s="42" t="n">
        <f aca="false">INDEX(E32:G32,1,MATCH($B$2,$E$4:$G$4,0))</f>
        <v>0.06</v>
      </c>
      <c r="C32" s="10" t="s">
        <v>135</v>
      </c>
      <c r="D32" s="8" t="s">
        <v>136</v>
      </c>
      <c r="E32" s="43" t="n">
        <v>0.06</v>
      </c>
      <c r="F32" s="43" t="n">
        <v>0.06</v>
      </c>
      <c r="G32" s="43" t="n">
        <v>0.06</v>
      </c>
      <c r="H32" s="35" t="str">
        <f aca="false">IF(COUNTIF(E32:G32,E32)=3,"","Varies")</f>
        <v/>
      </c>
    </row>
    <row r="33" customFormat="false" ht="15" hidden="false" customHeight="true" outlineLevel="0" collapsed="false">
      <c r="A33" s="8" t="s">
        <v>137</v>
      </c>
      <c r="B33" s="33" t="n">
        <f aca="false">INDEX(E33:G33,1,MATCH($B$2,$E$4:$G$4,0))</f>
        <v>10</v>
      </c>
      <c r="C33" s="10" t="s">
        <v>42</v>
      </c>
      <c r="D33" s="8" t="s">
        <v>136</v>
      </c>
      <c r="E33" s="34" t="n">
        <v>10</v>
      </c>
      <c r="F33" s="34" t="n">
        <v>10</v>
      </c>
      <c r="G33" s="34" t="n">
        <v>10</v>
      </c>
      <c r="H33" s="35" t="str">
        <f aca="false">IF(COUNTIF(E33:G33,E33)=3,"","Varies")</f>
        <v/>
      </c>
    </row>
    <row r="34" customFormat="false" ht="15" hidden="false" customHeight="true" outlineLevel="0" collapsed="false">
      <c r="A34" s="8" t="s">
        <v>138</v>
      </c>
      <c r="B34" s="33" t="n">
        <f aca="false">INDEX(E34:G34,1,MATCH($B$2,$E$4:$G$4,0))</f>
        <v>10</v>
      </c>
      <c r="C34" s="10" t="s">
        <v>104</v>
      </c>
      <c r="D34" s="8" t="s">
        <v>136</v>
      </c>
      <c r="E34" s="34" t="n">
        <v>10</v>
      </c>
      <c r="F34" s="34" t="n">
        <v>10</v>
      </c>
      <c r="G34" s="34" t="n">
        <v>10</v>
      </c>
      <c r="H34" s="35" t="str">
        <f aca="false">IF(COUNTIF(E34:G34,E34)=3,"","Varies")</f>
        <v/>
      </c>
    </row>
    <row r="35" customFormat="false" ht="15" hidden="false" customHeight="true" outlineLevel="0" collapsed="false">
      <c r="A35" s="32" t="s">
        <v>139</v>
      </c>
      <c r="B35" s="7"/>
      <c r="C35" s="7"/>
      <c r="D35" s="7"/>
      <c r="E35" s="7"/>
      <c r="F35" s="7"/>
      <c r="G35" s="7"/>
      <c r="H35" s="7"/>
    </row>
    <row r="36" customFormat="false" ht="15" hidden="false" customHeight="true" outlineLevel="0" collapsed="false">
      <c r="A36" s="8" t="s">
        <v>30</v>
      </c>
      <c r="B36" s="42" t="n">
        <f aca="false">INDEX(E36:G36,1,MATCH($B$2,$E$4:$G$4,0))</f>
        <v>0.85</v>
      </c>
      <c r="C36" s="10" t="s">
        <v>135</v>
      </c>
      <c r="D36" s="8" t="s">
        <v>140</v>
      </c>
      <c r="E36" s="43" t="n">
        <v>0.85</v>
      </c>
      <c r="F36" s="43" t="n">
        <v>0.85</v>
      </c>
      <c r="G36" s="43" t="n">
        <v>0.85</v>
      </c>
      <c r="H36" s="35" t="str">
        <f aca="false">IF(COUNTIF(E36:G36,E36)=3,"","Varies")</f>
        <v/>
      </c>
    </row>
    <row r="37" customFormat="false" ht="15" hidden="false" customHeight="true" outlineLevel="0" collapsed="false">
      <c r="A37" s="8" t="s">
        <v>141</v>
      </c>
      <c r="B37" s="42" t="n">
        <f aca="false">INDEX(E37:G37,1,MATCH($B$2,$E$4:$G$4,0))</f>
        <v>0.1</v>
      </c>
      <c r="C37" s="10" t="s">
        <v>135</v>
      </c>
      <c r="D37" s="8" t="s">
        <v>142</v>
      </c>
      <c r="E37" s="43" t="n">
        <v>0.1</v>
      </c>
      <c r="F37" s="43" t="n">
        <v>0.1</v>
      </c>
      <c r="G37" s="43" t="n">
        <v>0.1</v>
      </c>
      <c r="H37" s="35" t="str">
        <f aca="false">IF(COUNTIF(E37:G37,E37)=3,"","Varies")</f>
        <v/>
      </c>
    </row>
    <row r="38" customFormat="false" ht="15" hidden="false" customHeight="true" outlineLevel="0" collapsed="false">
      <c r="A38" s="8" t="s">
        <v>34</v>
      </c>
      <c r="B38" s="42" t="n">
        <f aca="false">INDEX(E38:G38,1,MATCH($B$2,$E$4:$G$4,0))</f>
        <v>0.07</v>
      </c>
      <c r="C38" s="10" t="s">
        <v>135</v>
      </c>
      <c r="D38" s="8" t="s">
        <v>143</v>
      </c>
      <c r="E38" s="43" t="n">
        <v>0.07</v>
      </c>
      <c r="F38" s="43" t="n">
        <v>0.07</v>
      </c>
      <c r="G38" s="43" t="n">
        <v>0.07</v>
      </c>
      <c r="H38" s="35" t="str">
        <f aca="false">IF(COUNTIF(E38:G38,E38)=3,"","Varies")</f>
        <v/>
      </c>
    </row>
    <row r="39" customFormat="false" ht="15" hidden="false" customHeight="true" outlineLevel="0" collapsed="false">
      <c r="A39" s="8" t="s">
        <v>36</v>
      </c>
      <c r="B39" s="44" t="n">
        <f aca="false">INDEX(E39:G39,1,MATCH($B$2,$E$4:$G$4,0))</f>
        <v>1000000</v>
      </c>
      <c r="C39" s="10" t="s">
        <v>29</v>
      </c>
      <c r="D39" s="8" t="s">
        <v>144</v>
      </c>
      <c r="E39" s="45" t="n">
        <v>1000000</v>
      </c>
      <c r="F39" s="45" t="n">
        <v>1000000</v>
      </c>
      <c r="G39" s="45" t="n">
        <v>1000000</v>
      </c>
      <c r="H39" s="35" t="str">
        <f aca="false">IF(COUNTIF(E39:G39,E39)=3,"","Varies")</f>
        <v/>
      </c>
    </row>
    <row r="40" customFormat="false" ht="15" hidden="false" customHeight="true" outlineLevel="0" collapsed="false">
      <c r="A40" s="32" t="s">
        <v>145</v>
      </c>
      <c r="B40" s="7"/>
      <c r="C40" s="7"/>
      <c r="D40" s="7"/>
      <c r="E40" s="7"/>
      <c r="F40" s="7"/>
      <c r="G40" s="7"/>
      <c r="H40" s="7"/>
    </row>
    <row r="41" customFormat="false" ht="15" hidden="false" customHeight="true" outlineLevel="0" collapsed="false">
      <c r="A41" s="8" t="s">
        <v>146</v>
      </c>
      <c r="B41" s="40" t="n">
        <f aca="false">INDEX(E41:G41,1,MATCH($B$2,$E$4:$G$4,0))</f>
        <v>0.95</v>
      </c>
      <c r="C41" s="10" t="s">
        <v>15</v>
      </c>
      <c r="D41" s="8" t="s">
        <v>147</v>
      </c>
      <c r="E41" s="41" t="n">
        <v>0.95</v>
      </c>
      <c r="F41" s="41" t="n">
        <v>0.95</v>
      </c>
      <c r="G41" s="41" t="n">
        <v>0.95</v>
      </c>
      <c r="H41" s="35" t="str">
        <f aca="false">IF(COUNTIF(E41:G41,E41)=3,"","Varies")</f>
        <v/>
      </c>
    </row>
    <row r="42" customFormat="false" ht="15" hidden="false" customHeight="true" outlineLevel="0" collapsed="false">
      <c r="A42" s="8" t="s">
        <v>148</v>
      </c>
      <c r="B42" s="40" t="n">
        <f aca="false">INDEX(E42:G42,1,MATCH($B$2,$E$4:$G$4,0))</f>
        <v>0.05</v>
      </c>
      <c r="C42" s="10" t="s">
        <v>15</v>
      </c>
      <c r="D42" s="8" t="s">
        <v>147</v>
      </c>
      <c r="E42" s="41" t="n">
        <v>0.05</v>
      </c>
      <c r="F42" s="41" t="n">
        <v>0.05</v>
      </c>
      <c r="G42" s="41" t="n">
        <v>0.05</v>
      </c>
      <c r="H42" s="35" t="str">
        <f aca="false">IF(COUNTIF(E42:G42,E42)=3,"","Varies")</f>
        <v/>
      </c>
    </row>
    <row r="43" customFormat="false" ht="15" hidden="false" customHeight="true" outlineLevel="0" collapsed="false">
      <c r="A43" s="8" t="s">
        <v>149</v>
      </c>
      <c r="B43" s="33" t="n">
        <f aca="false">INDEX(E43:G43,1,MATCH($B$2,$E$4:$G$4,0))</f>
        <v>15</v>
      </c>
      <c r="C43" s="10" t="s">
        <v>104</v>
      </c>
      <c r="D43" s="8" t="s">
        <v>147</v>
      </c>
      <c r="E43" s="34" t="n">
        <v>15</v>
      </c>
      <c r="F43" s="34" t="n">
        <v>15</v>
      </c>
      <c r="G43" s="34" t="n">
        <v>15</v>
      </c>
      <c r="H43" s="35" t="str">
        <f aca="false">IF(COUNTIF(E43:G43,E43)=3,"","Varies")</f>
        <v/>
      </c>
    </row>
    <row r="44" customFormat="false" ht="15" hidden="false" customHeight="true" outlineLevel="0" collapsed="false">
      <c r="A44" s="8" t="s">
        <v>16</v>
      </c>
      <c r="B44" s="40" t="n">
        <f aca="false">INDEX(E44:G44,1,MATCH($B$2,$E$4:$G$4,0))</f>
        <v>0.3</v>
      </c>
      <c r="C44" s="10" t="s">
        <v>15</v>
      </c>
      <c r="D44" s="8" t="s">
        <v>150</v>
      </c>
      <c r="E44" s="41" t="n">
        <v>0.3</v>
      </c>
      <c r="F44" s="41" t="n">
        <v>0.3</v>
      </c>
      <c r="G44" s="41" t="n">
        <v>0.3</v>
      </c>
      <c r="H44" s="35" t="str">
        <f aca="false">IF(COUNTIF(E44:G44,E44)=3,"","Varies")</f>
        <v/>
      </c>
    </row>
    <row r="45" customFormat="false" ht="15" hidden="false" customHeight="true" outlineLevel="0" collapsed="false">
      <c r="A45" s="8" t="s">
        <v>151</v>
      </c>
      <c r="B45" s="40" t="n">
        <f aca="false">INDEX(E45:G45,1,MATCH($B$2,$E$4:$G$4,0))</f>
        <v>0.5</v>
      </c>
      <c r="C45" s="10" t="s">
        <v>15</v>
      </c>
      <c r="D45" s="8" t="s">
        <v>150</v>
      </c>
      <c r="E45" s="41" t="n">
        <v>0.5</v>
      </c>
      <c r="F45" s="41" t="n">
        <v>0.5</v>
      </c>
      <c r="G45" s="41" t="n">
        <v>0.5</v>
      </c>
      <c r="H45" s="35" t="str">
        <f aca="false">IF(COUNTIF(E45:G45,E45)=3,"","Varies")</f>
        <v/>
      </c>
    </row>
    <row r="46" customFormat="false" ht="15" hidden="false" customHeight="true" outlineLevel="0" collapsed="false">
      <c r="A46" s="8" t="s">
        <v>152</v>
      </c>
      <c r="B46" s="40" t="n">
        <f aca="false">INDEX(E46:G46,1,MATCH($B$2,$E$4:$G$4,0))</f>
        <v>0.21</v>
      </c>
      <c r="C46" s="10" t="s">
        <v>15</v>
      </c>
      <c r="D46" s="8" t="s">
        <v>150</v>
      </c>
      <c r="E46" s="41" t="n">
        <v>0.21</v>
      </c>
      <c r="F46" s="41" t="n">
        <v>0.21</v>
      </c>
      <c r="G46" s="41" t="n">
        <v>0.21</v>
      </c>
      <c r="H46" s="35" t="str">
        <f aca="false">IF(COUNTIF(E46:G46,E46)=3,"","Varies")</f>
        <v/>
      </c>
    </row>
    <row r="47" customFormat="false" ht="15" hidden="false" customHeight="true" outlineLevel="0" collapsed="false">
      <c r="A47" s="32" t="s">
        <v>153</v>
      </c>
      <c r="B47" s="7"/>
      <c r="C47" s="7"/>
      <c r="D47" s="7"/>
      <c r="E47" s="7"/>
      <c r="F47" s="7"/>
      <c r="G47" s="7"/>
      <c r="H47" s="7"/>
    </row>
    <row r="48" customFormat="false" ht="15" hidden="false" customHeight="true" outlineLevel="0" collapsed="false">
      <c r="A48" s="8" t="s">
        <v>154</v>
      </c>
      <c r="B48" s="40" t="n">
        <f aca="false">INDEX(E48:G48,1,MATCH($B$2,$E$4:$G$4,0))</f>
        <v>0.08</v>
      </c>
      <c r="C48" s="10" t="s">
        <v>15</v>
      </c>
      <c r="D48" s="8" t="s">
        <v>155</v>
      </c>
      <c r="E48" s="41" t="n">
        <v>0.08</v>
      </c>
      <c r="F48" s="41" t="n">
        <v>0.08</v>
      </c>
      <c r="G48" s="41" t="n">
        <v>0.08</v>
      </c>
      <c r="H48" s="35" t="str">
        <f aca="false">IF(COUNTIF(E48:G48,E48)=3,"","Varies")</f>
        <v/>
      </c>
    </row>
    <row r="49" customFormat="false" ht="15" hidden="false" customHeight="true" outlineLevel="0" collapsed="false">
      <c r="A49" s="32" t="s">
        <v>156</v>
      </c>
      <c r="B49" s="7"/>
      <c r="C49" s="7"/>
      <c r="D49" s="7"/>
      <c r="E49" s="7"/>
      <c r="F49" s="7"/>
      <c r="G49" s="7"/>
      <c r="H49" s="7"/>
    </row>
    <row r="50" customFormat="false" ht="15" hidden="false" customHeight="true" outlineLevel="0" collapsed="false">
      <c r="A50" s="8" t="s">
        <v>21</v>
      </c>
      <c r="B50" s="40" t="n">
        <f aca="false">INDEX(E50:G50,1,MATCH($B$2,$E$4:$G$4,0))</f>
        <v>0.95</v>
      </c>
      <c r="C50" s="10" t="s">
        <v>15</v>
      </c>
      <c r="D50" s="8" t="s">
        <v>157</v>
      </c>
      <c r="E50" s="41" t="n">
        <v>0.95</v>
      </c>
      <c r="F50" s="41" t="n">
        <v>0.95</v>
      </c>
      <c r="G50" s="41" t="n">
        <v>0.95</v>
      </c>
      <c r="H50" s="35" t="str">
        <f aca="false">IF(COUNTIF(E50:G50,E50)=3,"","Varies")</f>
        <v/>
      </c>
    </row>
    <row r="51" customFormat="false" ht="15" hidden="false" customHeight="true" outlineLevel="0" collapsed="false">
      <c r="A51" s="8" t="s">
        <v>158</v>
      </c>
      <c r="B51" s="40" t="n">
        <f aca="false">INDEX(E51:G51,1,MATCH($B$2,$E$4:$G$4,0))</f>
        <v>0.02</v>
      </c>
      <c r="C51" s="10" t="s">
        <v>15</v>
      </c>
      <c r="D51" s="8" t="s">
        <v>157</v>
      </c>
      <c r="E51" s="41" t="n">
        <v>0.02</v>
      </c>
      <c r="F51" s="41" t="n">
        <v>0.02</v>
      </c>
      <c r="G51" s="41" t="n">
        <v>0.02</v>
      </c>
      <c r="H51" s="35" t="str">
        <f aca="false">IF(COUNTIF(E51:G51,E51)=3,"","Varies")</f>
        <v/>
      </c>
    </row>
    <row r="52" customFormat="false" ht="15" hidden="false" customHeight="true" outlineLevel="0" collapsed="false">
      <c r="A52" s="8" t="s">
        <v>159</v>
      </c>
      <c r="B52" s="40" t="n">
        <f aca="false">INDEX(E52:G52,1,MATCH($B$2,$E$4:$G$4,0))</f>
        <v>0.005</v>
      </c>
      <c r="C52" s="10" t="s">
        <v>15</v>
      </c>
      <c r="D52" s="8" t="s">
        <v>157</v>
      </c>
      <c r="E52" s="41" t="n">
        <v>0.005</v>
      </c>
      <c r="F52" s="41" t="n">
        <v>0.005</v>
      </c>
      <c r="G52" s="41" t="n">
        <v>0.005</v>
      </c>
      <c r="H52" s="35" t="str">
        <f aca="false">IF(COUNTIF(E52:G52,E52)=3,"","Varies")</f>
        <v/>
      </c>
    </row>
    <row r="53" customFormat="false" ht="15" hidden="false" customHeight="true" outlineLevel="0" collapsed="false">
      <c r="A53" s="8" t="s">
        <v>25</v>
      </c>
      <c r="B53" s="40" t="n">
        <f aca="false">INDEX(E53:G53,1,MATCH($B$2,$E$4:$G$4,0))</f>
        <v>0.01</v>
      </c>
      <c r="C53" s="10" t="s">
        <v>15</v>
      </c>
      <c r="D53" s="8" t="s">
        <v>157</v>
      </c>
      <c r="E53" s="41" t="n">
        <v>0.01</v>
      </c>
      <c r="F53" s="41" t="n">
        <v>0.01</v>
      </c>
      <c r="G53" s="41" t="n">
        <v>0.01</v>
      </c>
      <c r="H53" s="35" t="str">
        <f aca="false">IF(COUNTIF(E53:G53,E53)=3,"","Varies")</f>
        <v/>
      </c>
    </row>
    <row r="54" customFormat="false" ht="15" hidden="false" customHeight="true" outlineLevel="0" collapsed="false">
      <c r="A54" s="32" t="s">
        <v>160</v>
      </c>
      <c r="B54" s="7"/>
      <c r="C54" s="7"/>
      <c r="D54" s="7"/>
      <c r="E54" s="7"/>
      <c r="F54" s="7"/>
      <c r="G54" s="7"/>
      <c r="H54" s="7"/>
    </row>
    <row r="55" customFormat="false" ht="15" hidden="false" customHeight="true" outlineLevel="0" collapsed="false">
      <c r="A55" s="8" t="s">
        <v>161</v>
      </c>
      <c r="B55" s="40" t="n">
        <f aca="false">INDEX(E55:G55,1,MATCH($B$2,$E$4:$G$4,0))</f>
        <v>0</v>
      </c>
      <c r="C55" s="10" t="s">
        <v>15</v>
      </c>
      <c r="D55" s="8" t="s">
        <v>162</v>
      </c>
      <c r="E55" s="41" t="n">
        <v>0</v>
      </c>
      <c r="F55" s="41" t="n">
        <v>0</v>
      </c>
      <c r="G55" s="41" t="n">
        <v>0</v>
      </c>
      <c r="H55" s="35" t="str">
        <f aca="false">IF(COUNTIF(E55:G55,E55)=3,"","Varies")</f>
        <v/>
      </c>
    </row>
    <row r="56" customFormat="false" ht="15" hidden="false" customHeight="true" outlineLevel="0" collapsed="false">
      <c r="A56" s="8" t="s">
        <v>163</v>
      </c>
      <c r="B56" s="40" t="n">
        <f aca="false">INDEX(E56:G56,1,MATCH($B$2,$E$4:$G$4,0))</f>
        <v>0</v>
      </c>
      <c r="C56" s="10" t="s">
        <v>15</v>
      </c>
      <c r="D56" s="8" t="s">
        <v>162</v>
      </c>
      <c r="E56" s="41" t="n">
        <v>0</v>
      </c>
      <c r="F56" s="41" t="n">
        <v>0</v>
      </c>
      <c r="G56" s="41" t="n">
        <v>0</v>
      </c>
      <c r="H56" s="35" t="str">
        <f aca="false">IF(COUNTIF(E56:G56,E56)=3,"","Varies")</f>
        <v/>
      </c>
    </row>
    <row r="57" customFormat="false" ht="15" hidden="false" customHeight="true" outlineLevel="0" collapsed="false">
      <c r="A57" s="8" t="s">
        <v>164</v>
      </c>
      <c r="B57" s="40" t="n">
        <f aca="false">INDEX(E57:G57,1,MATCH($B$2,$E$4:$G$4,0))</f>
        <v>0</v>
      </c>
      <c r="C57" s="10" t="s">
        <v>15</v>
      </c>
      <c r="D57" s="8" t="s">
        <v>162</v>
      </c>
      <c r="E57" s="41" t="n">
        <v>0</v>
      </c>
      <c r="F57" s="41" t="n">
        <v>0</v>
      </c>
      <c r="G57" s="41" t="n">
        <v>0</v>
      </c>
      <c r="H57" s="35" t="str">
        <f aca="false">IF(COUNTIF(E57:G57,E57)=3,"","Varies")</f>
        <v/>
      </c>
    </row>
    <row r="58" customFormat="false" ht="15" hidden="false" customHeight="true" outlineLevel="0" collapsed="false">
      <c r="A58" s="32" t="s">
        <v>165</v>
      </c>
      <c r="B58" s="7"/>
      <c r="C58" s="7"/>
      <c r="D58" s="7"/>
      <c r="E58" s="7"/>
      <c r="F58" s="7"/>
      <c r="G58" s="7"/>
      <c r="H58" s="7"/>
    </row>
    <row r="59" customFormat="false" ht="15" hidden="false" customHeight="true" outlineLevel="0" collapsed="false">
      <c r="A59" s="8" t="s">
        <v>166</v>
      </c>
      <c r="B59" s="40" t="n">
        <f aca="false">INDEX(E59:G59,1,MATCH($B$2,$E$4:$G$4,0))</f>
        <v>0.2</v>
      </c>
      <c r="C59" s="10" t="s">
        <v>15</v>
      </c>
      <c r="D59" s="8" t="s">
        <v>167</v>
      </c>
      <c r="E59" s="41" t="n">
        <v>0.2</v>
      </c>
      <c r="F59" s="41" t="n">
        <v>0.2</v>
      </c>
      <c r="G59" s="41" t="n">
        <v>0.2</v>
      </c>
      <c r="H59" s="35" t="str">
        <f aca="false">IF(COUNTIF(E59:G59,E59)=3,"","Varies")</f>
        <v/>
      </c>
    </row>
    <row r="60" customFormat="false" ht="15" hidden="false" customHeight="true" outlineLevel="0" collapsed="false">
      <c r="A60" s="8" t="s">
        <v>168</v>
      </c>
      <c r="B60" s="40" t="n">
        <f aca="false">INDEX(E60:G60,1,MATCH($B$2,$E$4:$G$4,0))</f>
        <v>0.32</v>
      </c>
      <c r="C60" s="10" t="s">
        <v>15</v>
      </c>
      <c r="D60" s="8" t="s">
        <v>167</v>
      </c>
      <c r="E60" s="41" t="n">
        <v>0.32</v>
      </c>
      <c r="F60" s="41" t="n">
        <v>0.32</v>
      </c>
      <c r="G60" s="41" t="n">
        <v>0.32</v>
      </c>
      <c r="H60" s="35" t="str">
        <f aca="false">IF(COUNTIF(E60:G60,E60)=3,"","Varies")</f>
        <v/>
      </c>
    </row>
    <row r="61" customFormat="false" ht="15" hidden="false" customHeight="true" outlineLevel="0" collapsed="false">
      <c r="A61" s="8" t="s">
        <v>169</v>
      </c>
      <c r="B61" s="40" t="n">
        <f aca="false">INDEX(E61:G61,1,MATCH($B$2,$E$4:$G$4,0))</f>
        <v>0.192</v>
      </c>
      <c r="C61" s="10" t="s">
        <v>15</v>
      </c>
      <c r="D61" s="8" t="s">
        <v>167</v>
      </c>
      <c r="E61" s="41" t="n">
        <v>0.192</v>
      </c>
      <c r="F61" s="41" t="n">
        <v>0.192</v>
      </c>
      <c r="G61" s="41" t="n">
        <v>0.192</v>
      </c>
      <c r="H61" s="35" t="str">
        <f aca="false">IF(COUNTIF(E61:G61,E61)=3,"","Varies")</f>
        <v/>
      </c>
    </row>
    <row r="62" customFormat="false" ht="15" hidden="false" customHeight="true" outlineLevel="0" collapsed="false">
      <c r="A62" s="8" t="s">
        <v>170</v>
      </c>
      <c r="B62" s="40" t="n">
        <f aca="false">INDEX(E62:G62,1,MATCH($B$2,$E$4:$G$4,0))</f>
        <v>0.1152</v>
      </c>
      <c r="C62" s="10" t="s">
        <v>15</v>
      </c>
      <c r="D62" s="8" t="s">
        <v>167</v>
      </c>
      <c r="E62" s="41" t="n">
        <v>0.1152</v>
      </c>
      <c r="F62" s="41" t="n">
        <v>0.1152</v>
      </c>
      <c r="G62" s="41" t="n">
        <v>0.1152</v>
      </c>
      <c r="H62" s="35" t="str">
        <f aca="false">IF(COUNTIF(E62:G62,E62)=3,"","Varies")</f>
        <v/>
      </c>
    </row>
    <row r="63" customFormat="false" ht="15" hidden="false" customHeight="true" outlineLevel="0" collapsed="false">
      <c r="A63" s="8" t="s">
        <v>171</v>
      </c>
      <c r="B63" s="40" t="n">
        <f aca="false">INDEX(E63:G63,1,MATCH($B$2,$E$4:$G$4,0))</f>
        <v>0.1152</v>
      </c>
      <c r="C63" s="10" t="s">
        <v>15</v>
      </c>
      <c r="D63" s="8" t="s">
        <v>167</v>
      </c>
      <c r="E63" s="41" t="n">
        <v>0.1152</v>
      </c>
      <c r="F63" s="41" t="n">
        <v>0.1152</v>
      </c>
      <c r="G63" s="41" t="n">
        <v>0.1152</v>
      </c>
      <c r="H63" s="35" t="str">
        <f aca="false">IF(COUNTIF(E63:G63,E63)=3,"","Varies")</f>
        <v/>
      </c>
    </row>
    <row r="64" customFormat="false" ht="15" hidden="false" customHeight="true" outlineLevel="0" collapsed="false">
      <c r="A64" s="8" t="s">
        <v>172</v>
      </c>
      <c r="B64" s="40" t="n">
        <f aca="false">INDEX(E64:G64,1,MATCH($B$2,$E$4:$G$4,0))</f>
        <v>0.0576</v>
      </c>
      <c r="C64" s="10" t="s">
        <v>15</v>
      </c>
      <c r="D64" s="8" t="s">
        <v>167</v>
      </c>
      <c r="E64" s="41" t="n">
        <v>0.0576</v>
      </c>
      <c r="F64" s="41" t="n">
        <v>0.0576</v>
      </c>
      <c r="G64" s="41" t="n">
        <v>0.0576</v>
      </c>
      <c r="H64" s="35" t="str">
        <f aca="false">IF(COUNTIF(E64:G64,E64)=3,"","Varies")</f>
        <v/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99"/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50"/>
  </cols>
  <sheetData>
    <row r="1" customFormat="false" ht="17.25" hidden="false" customHeight="true" outlineLevel="0" collapsed="false">
      <c r="A1" s="25" t="s">
        <v>173</v>
      </c>
    </row>
    <row r="3" customFormat="false" ht="15" hidden="false" customHeight="true" outlineLevel="0" collapsed="false">
      <c r="A3" s="35" t="s">
        <v>174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99"/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60"/>
  </cols>
  <sheetData>
    <row r="1" customFormat="false" ht="17.25" hidden="false" customHeight="true" outlineLevel="0" collapsed="false">
      <c r="A1" s="25" t="s">
        <v>175</v>
      </c>
    </row>
    <row r="3" customFormat="false" ht="15" hidden="false" customHeight="true" outlineLevel="0" collapsed="false">
      <c r="A3" s="35" t="s">
        <v>176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50"/>
    <col collapsed="false" customWidth="true" hidden="false" outlineLevel="0" max="2" min="2" style="1" width="18"/>
    <col collapsed="false" customWidth="true" hidden="false" outlineLevel="0" max="3" min="3" style="1" width="14"/>
    <col collapsed="false" customWidth="true" hidden="false" outlineLevel="0" max="4" min="4" style="1" width="60"/>
  </cols>
  <sheetData>
    <row r="1" customFormat="false" ht="17.25" hidden="false" customHeight="true" outlineLevel="0" collapsed="false">
      <c r="A1" s="25" t="s">
        <v>177</v>
      </c>
      <c r="B1" s="3"/>
      <c r="C1" s="3"/>
      <c r="D1" s="3"/>
      <c r="E1" s="3"/>
    </row>
    <row r="3" customFormat="false" ht="15" hidden="false" customHeight="true" outlineLevel="0" collapsed="false">
      <c r="A3" s="46" t="s">
        <v>178</v>
      </c>
      <c r="B3" s="7"/>
      <c r="C3" s="7"/>
      <c r="D3" s="7"/>
    </row>
    <row r="4" customFormat="false" ht="15" hidden="false" customHeight="true" outlineLevel="0" collapsed="false">
      <c r="A4" s="47" t="s">
        <v>179</v>
      </c>
      <c r="B4" s="47" t="s">
        <v>180</v>
      </c>
      <c r="C4" s="47" t="s">
        <v>91</v>
      </c>
      <c r="D4" s="47" t="s">
        <v>181</v>
      </c>
    </row>
    <row r="5" customFormat="false" ht="15" hidden="false" customHeight="true" outlineLevel="0" collapsed="false">
      <c r="A5" s="8" t="s">
        <v>182</v>
      </c>
      <c r="B5" s="48" t="n">
        <f aca="false">NPV(Equity!B8,Equity!E9:AM9)</f>
        <v>31121039.2429788</v>
      </c>
      <c r="C5" s="1" t="s">
        <v>29</v>
      </c>
      <c r="D5" s="1" t="s">
        <v>183</v>
      </c>
    </row>
    <row r="6" customFormat="false" ht="15" hidden="false" customHeight="true" outlineLevel="0" collapsed="false">
      <c r="A6" s="8" t="s">
        <v>184</v>
      </c>
      <c r="B6" s="48" t="n">
        <f aca="false">B5-ConCost!B27-ConCost!B25-ConCost!B26-SUM(ConFin!E37:P37)</f>
        <v>2921347.86714605</v>
      </c>
      <c r="C6" s="1" t="s">
        <v>29</v>
      </c>
      <c r="D6" s="1" t="s">
        <v>185</v>
      </c>
    </row>
    <row r="7" customFormat="false" ht="15" hidden="false" customHeight="true" outlineLevel="0" collapsed="false">
      <c r="A7" s="8" t="s">
        <v>186</v>
      </c>
      <c r="B7" s="49" t="n">
        <f aca="false">Equity!B15</f>
        <v>0.0799999977708902</v>
      </c>
      <c r="C7" s="1" t="s">
        <v>15</v>
      </c>
      <c r="D7" s="1" t="s">
        <v>187</v>
      </c>
    </row>
    <row r="8" customFormat="false" ht="15" hidden="false" customHeight="true" outlineLevel="0" collapsed="false">
      <c r="A8" s="8" t="s">
        <v>188</v>
      </c>
      <c r="B8" s="50" t="n">
        <f aca="false">InpC!B48</f>
        <v>0.08</v>
      </c>
      <c r="C8" s="1" t="s">
        <v>15</v>
      </c>
      <c r="D8" s="1" t="s">
        <v>189</v>
      </c>
    </row>
    <row r="10" customFormat="false" ht="15" hidden="false" customHeight="true" outlineLevel="0" collapsed="false">
      <c r="A10" s="46" t="s">
        <v>190</v>
      </c>
      <c r="B10" s="7"/>
      <c r="C10" s="7"/>
      <c r="D10" s="7"/>
    </row>
    <row r="11" customFormat="false" ht="15" hidden="false" customHeight="true" outlineLevel="0" collapsed="false">
      <c r="A11" s="8" t="s">
        <v>191</v>
      </c>
      <c r="B11" s="40" t="n">
        <f aca="false">B7-B8</f>
        <v>-2.22910977176749E-009</v>
      </c>
      <c r="C11" s="51" t="s">
        <v>15</v>
      </c>
      <c r="D11" s="8" t="s">
        <v>192</v>
      </c>
    </row>
    <row r="12" customFormat="false" ht="15" hidden="false" customHeight="true" outlineLevel="0" collapsed="false">
      <c r="A12" s="8" t="s">
        <v>193</v>
      </c>
      <c r="B12" s="44" t="n">
        <f aca="false">ConCost!B27</f>
        <v>24700000</v>
      </c>
      <c r="C12" s="51" t="s">
        <v>29</v>
      </c>
      <c r="D12" s="8" t="s">
        <v>194</v>
      </c>
    </row>
    <row r="13" customFormat="false" ht="15" hidden="false" customHeight="true" outlineLevel="0" collapsed="false">
      <c r="A13" s="8" t="s">
        <v>195</v>
      </c>
      <c r="B13" s="44" t="n">
        <f aca="false">ConCost!B25</f>
        <v>1820000</v>
      </c>
      <c r="C13" s="51" t="s">
        <v>29</v>
      </c>
      <c r="D13" s="8" t="s">
        <v>196</v>
      </c>
    </row>
    <row r="14" customFormat="false" ht="15" hidden="false" customHeight="true" outlineLevel="0" collapsed="false">
      <c r="A14" s="8" t="s">
        <v>36</v>
      </c>
      <c r="B14" s="44" t="n">
        <f aca="false">ConCost!B26</f>
        <v>1000000</v>
      </c>
      <c r="C14" s="51" t="s">
        <v>29</v>
      </c>
      <c r="D14" s="8" t="s">
        <v>197</v>
      </c>
    </row>
    <row r="15" customFormat="false" ht="15" hidden="false" customHeight="true" outlineLevel="0" collapsed="false">
      <c r="A15" s="8" t="s">
        <v>198</v>
      </c>
      <c r="B15" s="44" t="n">
        <f aca="false">SUM(ConFin!E37:P37)</f>
        <v>679691.375832788</v>
      </c>
      <c r="C15" s="51" t="s">
        <v>29</v>
      </c>
      <c r="D15" s="8" t="s">
        <v>199</v>
      </c>
    </row>
    <row r="16" customFormat="false" ht="15" hidden="false" customHeight="true" outlineLevel="0" collapsed="false">
      <c r="A16" s="8" t="s">
        <v>200</v>
      </c>
      <c r="B16" s="44" t="n">
        <f aca="false">B12+B13+B14+B15</f>
        <v>28199691.3758328</v>
      </c>
      <c r="C16" s="51" t="s">
        <v>29</v>
      </c>
      <c r="D16" s="8" t="s">
        <v>201</v>
      </c>
    </row>
    <row r="17" customFormat="false" ht="15" hidden="false" customHeight="true" outlineLevel="0" collapsed="false">
      <c r="A17" s="8" t="s">
        <v>202</v>
      </c>
      <c r="B17" s="44" t="n">
        <f aca="false">B5-B16</f>
        <v>2921347.86714605</v>
      </c>
      <c r="C17" s="51" t="s">
        <v>29</v>
      </c>
      <c r="D17" s="8" t="s">
        <v>203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5" topLeftCell="E6" activePane="bottomRight" state="frozen"/>
      <selection pane="topLeft" activeCell="A1" activeCellId="0" sqref="A1"/>
      <selection pane="topRight" activeCell="E1" activeCellId="0" sqref="E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42"/>
    <col collapsed="false" customWidth="true" hidden="false" outlineLevel="0" max="2" min="2" style="1" width="14"/>
    <col collapsed="false" customWidth="true" hidden="false" outlineLevel="0" max="3" min="3" style="1" width="12"/>
    <col collapsed="false" customWidth="true" hidden="false" outlineLevel="0" max="4" min="4" style="1" width="14"/>
    <col collapsed="false" customWidth="true" hidden="false" outlineLevel="0" max="39" min="5" style="1" width="12"/>
  </cols>
  <sheetData>
    <row r="1" customFormat="false" ht="15" hidden="false" customHeight="true" outlineLevel="0" collapsed="false">
      <c r="A1" s="52" t="s">
        <v>204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customFormat="false" ht="15" hidden="false" customHeight="true" outlineLevel="0" collapsed="false">
      <c r="A2" s="4" t="s">
        <v>205</v>
      </c>
      <c r="C2" s="8" t="s">
        <v>206</v>
      </c>
      <c r="E2" s="53" t="n">
        <v>46023</v>
      </c>
      <c r="F2" s="53" t="n">
        <v>46388</v>
      </c>
      <c r="G2" s="53" t="n">
        <v>46753</v>
      </c>
      <c r="H2" s="53" t="n">
        <v>47119</v>
      </c>
      <c r="I2" s="53" t="n">
        <v>47484</v>
      </c>
      <c r="J2" s="53" t="n">
        <v>47849</v>
      </c>
      <c r="K2" s="53" t="n">
        <v>48214</v>
      </c>
      <c r="L2" s="53" t="n">
        <v>48580</v>
      </c>
      <c r="M2" s="53" t="n">
        <v>48945</v>
      </c>
      <c r="N2" s="53" t="n">
        <v>49310</v>
      </c>
      <c r="O2" s="53" t="n">
        <v>49675</v>
      </c>
      <c r="P2" s="53" t="n">
        <v>50041</v>
      </c>
      <c r="Q2" s="53" t="n">
        <v>50406</v>
      </c>
      <c r="R2" s="53" t="n">
        <v>50771</v>
      </c>
      <c r="S2" s="53" t="n">
        <v>51136</v>
      </c>
      <c r="T2" s="53" t="n">
        <v>51502</v>
      </c>
      <c r="U2" s="53" t="n">
        <v>51867</v>
      </c>
      <c r="V2" s="53" t="n">
        <v>52232</v>
      </c>
      <c r="W2" s="53" t="n">
        <v>52597</v>
      </c>
      <c r="X2" s="53" t="n">
        <v>52963</v>
      </c>
      <c r="Y2" s="53" t="n">
        <v>53328</v>
      </c>
      <c r="Z2" s="53" t="n">
        <v>53693</v>
      </c>
      <c r="AA2" s="53" t="n">
        <v>54058</v>
      </c>
      <c r="AB2" s="53" t="n">
        <v>54424</v>
      </c>
      <c r="AC2" s="53" t="n">
        <v>54789</v>
      </c>
      <c r="AD2" s="53" t="n">
        <v>55154</v>
      </c>
      <c r="AE2" s="53" t="n">
        <v>55519</v>
      </c>
      <c r="AF2" s="53" t="n">
        <v>55885</v>
      </c>
      <c r="AG2" s="53" t="n">
        <v>56250</v>
      </c>
      <c r="AH2" s="53" t="n">
        <v>56615</v>
      </c>
      <c r="AI2" s="53" t="n">
        <v>56980</v>
      </c>
      <c r="AJ2" s="53" t="n">
        <v>57346</v>
      </c>
      <c r="AK2" s="53" t="n">
        <v>57711</v>
      </c>
      <c r="AL2" s="53" t="n">
        <v>58076</v>
      </c>
      <c r="AM2" s="53" t="n">
        <v>58441</v>
      </c>
    </row>
    <row r="3" customFormat="false" ht="15" hidden="false" customHeight="true" outlineLevel="0" collapsed="false">
      <c r="A3" s="4" t="s">
        <v>207</v>
      </c>
      <c r="C3" s="8" t="s">
        <v>206</v>
      </c>
      <c r="E3" s="53" t="n">
        <v>46387</v>
      </c>
      <c r="F3" s="53" t="n">
        <v>46752</v>
      </c>
      <c r="G3" s="53" t="n">
        <v>47118</v>
      </c>
      <c r="H3" s="53" t="n">
        <v>47483</v>
      </c>
      <c r="I3" s="53" t="n">
        <v>47848</v>
      </c>
      <c r="J3" s="53" t="n">
        <v>48213</v>
      </c>
      <c r="K3" s="53" t="n">
        <v>48579</v>
      </c>
      <c r="L3" s="53" t="n">
        <v>48944</v>
      </c>
      <c r="M3" s="53" t="n">
        <v>49309</v>
      </c>
      <c r="N3" s="53" t="n">
        <v>49674</v>
      </c>
      <c r="O3" s="53" t="n">
        <v>50040</v>
      </c>
      <c r="P3" s="53" t="n">
        <v>50405</v>
      </c>
      <c r="Q3" s="53" t="n">
        <v>50770</v>
      </c>
      <c r="R3" s="53" t="n">
        <v>51135</v>
      </c>
      <c r="S3" s="53" t="n">
        <v>51501</v>
      </c>
      <c r="T3" s="53" t="n">
        <v>51866</v>
      </c>
      <c r="U3" s="53" t="n">
        <v>52231</v>
      </c>
      <c r="V3" s="53" t="n">
        <v>52596</v>
      </c>
      <c r="W3" s="53" t="n">
        <v>52962</v>
      </c>
      <c r="X3" s="53" t="n">
        <v>53327</v>
      </c>
      <c r="Y3" s="53" t="n">
        <v>53692</v>
      </c>
      <c r="Z3" s="53" t="n">
        <v>54057</v>
      </c>
      <c r="AA3" s="53" t="n">
        <v>54423</v>
      </c>
      <c r="AB3" s="53" t="n">
        <v>54788</v>
      </c>
      <c r="AC3" s="53" t="n">
        <v>55153</v>
      </c>
      <c r="AD3" s="53" t="n">
        <v>55518</v>
      </c>
      <c r="AE3" s="53" t="n">
        <v>55884</v>
      </c>
      <c r="AF3" s="53" t="n">
        <v>56249</v>
      </c>
      <c r="AG3" s="53" t="n">
        <v>56614</v>
      </c>
      <c r="AH3" s="53" t="n">
        <v>56979</v>
      </c>
      <c r="AI3" s="53" t="n">
        <v>57345</v>
      </c>
      <c r="AJ3" s="53" t="n">
        <v>57710</v>
      </c>
      <c r="AK3" s="53" t="n">
        <v>58075</v>
      </c>
      <c r="AL3" s="53" t="n">
        <v>58440</v>
      </c>
      <c r="AM3" s="53" t="n">
        <v>58806</v>
      </c>
    </row>
    <row r="4" customFormat="false" ht="15" hidden="false" customHeight="true" outlineLevel="0" collapsed="false">
      <c r="A4" s="4" t="s">
        <v>208</v>
      </c>
      <c r="C4" s="8" t="s">
        <v>209</v>
      </c>
      <c r="E4" s="54" t="n">
        <v>1</v>
      </c>
      <c r="F4" s="54" t="n">
        <v>2</v>
      </c>
      <c r="G4" s="54" t="n">
        <v>3</v>
      </c>
      <c r="H4" s="54" t="n">
        <v>4</v>
      </c>
      <c r="I4" s="54" t="n">
        <v>5</v>
      </c>
      <c r="J4" s="54" t="n">
        <v>6</v>
      </c>
      <c r="K4" s="54" t="n">
        <v>7</v>
      </c>
      <c r="L4" s="54" t="n">
        <v>8</v>
      </c>
      <c r="M4" s="54" t="n">
        <v>9</v>
      </c>
      <c r="N4" s="54" t="n">
        <v>10</v>
      </c>
      <c r="O4" s="54" t="n">
        <v>11</v>
      </c>
      <c r="P4" s="54" t="n">
        <v>12</v>
      </c>
      <c r="Q4" s="54" t="n">
        <v>13</v>
      </c>
      <c r="R4" s="54" t="n">
        <v>14</v>
      </c>
      <c r="S4" s="54" t="n">
        <v>15</v>
      </c>
      <c r="T4" s="54" t="n">
        <v>16</v>
      </c>
      <c r="U4" s="54" t="n">
        <v>17</v>
      </c>
      <c r="V4" s="54" t="n">
        <v>18</v>
      </c>
      <c r="W4" s="54" t="n">
        <v>19</v>
      </c>
      <c r="X4" s="54" t="n">
        <v>20</v>
      </c>
      <c r="Y4" s="54" t="n">
        <v>21</v>
      </c>
      <c r="Z4" s="54" t="n">
        <v>22</v>
      </c>
      <c r="AA4" s="54" t="n">
        <v>23</v>
      </c>
      <c r="AB4" s="54" t="n">
        <v>24</v>
      </c>
      <c r="AC4" s="54" t="n">
        <v>25</v>
      </c>
      <c r="AD4" s="54" t="n">
        <v>26</v>
      </c>
      <c r="AE4" s="54" t="n">
        <v>27</v>
      </c>
      <c r="AF4" s="54" t="n">
        <v>28</v>
      </c>
      <c r="AG4" s="54" t="n">
        <v>29</v>
      </c>
      <c r="AH4" s="54" t="n">
        <v>30</v>
      </c>
      <c r="AI4" s="54" t="n">
        <v>31</v>
      </c>
      <c r="AJ4" s="54" t="n">
        <v>32</v>
      </c>
      <c r="AK4" s="54" t="n">
        <v>33</v>
      </c>
      <c r="AL4" s="54" t="n">
        <v>34</v>
      </c>
      <c r="AM4" s="54" t="n">
        <v>35</v>
      </c>
    </row>
    <row r="5" customFormat="false" ht="15" hidden="false" customHeight="true" outlineLevel="0" collapsed="false">
      <c r="A5" s="55" t="s">
        <v>210</v>
      </c>
      <c r="B5" s="55" t="s">
        <v>90</v>
      </c>
      <c r="C5" s="55" t="s">
        <v>91</v>
      </c>
      <c r="D5" s="55" t="s">
        <v>211</v>
      </c>
      <c r="E5" s="56" t="n">
        <v>2026</v>
      </c>
      <c r="F5" s="56" t="n">
        <v>2027</v>
      </c>
      <c r="G5" s="56" t="n">
        <v>2028</v>
      </c>
      <c r="H5" s="56" t="n">
        <v>2029</v>
      </c>
      <c r="I5" s="56" t="n">
        <v>2030</v>
      </c>
      <c r="J5" s="56" t="n">
        <v>2031</v>
      </c>
      <c r="K5" s="56" t="n">
        <v>2032</v>
      </c>
      <c r="L5" s="56" t="n">
        <v>2033</v>
      </c>
      <c r="M5" s="56" t="n">
        <v>2034</v>
      </c>
      <c r="N5" s="56" t="n">
        <v>2035</v>
      </c>
      <c r="O5" s="56" t="n">
        <v>2036</v>
      </c>
      <c r="P5" s="56" t="n">
        <v>2037</v>
      </c>
      <c r="Q5" s="56" t="n">
        <v>2038</v>
      </c>
      <c r="R5" s="56" t="n">
        <v>2039</v>
      </c>
      <c r="S5" s="56" t="n">
        <v>2040</v>
      </c>
      <c r="T5" s="56" t="n">
        <v>2041</v>
      </c>
      <c r="U5" s="56" t="n">
        <v>2042</v>
      </c>
      <c r="V5" s="56" t="n">
        <v>2043</v>
      </c>
      <c r="W5" s="56" t="n">
        <v>2044</v>
      </c>
      <c r="X5" s="56" t="n">
        <v>2045</v>
      </c>
      <c r="Y5" s="56" t="n">
        <v>2046</v>
      </c>
      <c r="Z5" s="56" t="n">
        <v>2047</v>
      </c>
      <c r="AA5" s="56" t="n">
        <v>2048</v>
      </c>
      <c r="AB5" s="56" t="n">
        <v>2049</v>
      </c>
      <c r="AC5" s="56" t="n">
        <v>2050</v>
      </c>
      <c r="AD5" s="56" t="n">
        <v>2051</v>
      </c>
      <c r="AE5" s="56" t="n">
        <v>2052</v>
      </c>
      <c r="AF5" s="56" t="n">
        <v>2053</v>
      </c>
      <c r="AG5" s="56" t="n">
        <v>2054</v>
      </c>
      <c r="AH5" s="56" t="n">
        <v>2055</v>
      </c>
      <c r="AI5" s="56" t="n">
        <v>2056</v>
      </c>
      <c r="AJ5" s="56" t="n">
        <v>2057</v>
      </c>
      <c r="AK5" s="56" t="n">
        <v>2058</v>
      </c>
      <c r="AL5" s="56" t="n">
        <v>2059</v>
      </c>
      <c r="AM5" s="56" t="n">
        <v>2060</v>
      </c>
    </row>
    <row r="6" customFormat="false" ht="15" hidden="false" customHeight="true" outlineLevel="0" collapsed="false">
      <c r="A6" s="57" t="s">
        <v>212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</row>
    <row r="7" customFormat="false" ht="15" hidden="false" customHeight="true" outlineLevel="0" collapsed="false">
      <c r="A7" s="8" t="s">
        <v>213</v>
      </c>
      <c r="B7" s="9" t="n">
        <f aca="false">InpC!B11</f>
        <v>20</v>
      </c>
      <c r="C7" s="10" t="s">
        <v>104</v>
      </c>
    </row>
    <row r="8" customFormat="false" ht="15" hidden="false" customHeight="true" outlineLevel="0" collapsed="false">
      <c r="A8" s="8" t="s">
        <v>214</v>
      </c>
      <c r="B8" s="9" t="n">
        <f aca="false">InpC!B12</f>
        <v>35</v>
      </c>
      <c r="C8" s="10" t="s">
        <v>104</v>
      </c>
    </row>
    <row r="9" customFormat="false" ht="15" hidden="false" customHeight="true" outlineLevel="0" collapsed="false">
      <c r="A9" s="8" t="s">
        <v>215</v>
      </c>
      <c r="B9" s="9" t="n">
        <f aca="false">InpC!B33</f>
        <v>10</v>
      </c>
      <c r="C9" s="10" t="s">
        <v>42</v>
      </c>
    </row>
    <row r="10" customFormat="false" ht="15" hidden="false" customHeight="true" outlineLevel="0" collapsed="false">
      <c r="A10" s="8" t="s">
        <v>216</v>
      </c>
      <c r="B10" s="9" t="n">
        <f aca="false">InpC!B34</f>
        <v>10</v>
      </c>
      <c r="C10" s="10" t="s">
        <v>104</v>
      </c>
    </row>
    <row r="12" customFormat="false" ht="15" hidden="false" customHeight="true" outlineLevel="0" collapsed="false">
      <c r="A12" s="8" t="s">
        <v>217</v>
      </c>
      <c r="C12" s="10" t="s">
        <v>42</v>
      </c>
      <c r="D12" s="59" t="n">
        <f aca="false">SUM(E12:AM12)</f>
        <v>630</v>
      </c>
      <c r="E12" s="60" t="n">
        <v>1</v>
      </c>
      <c r="F12" s="60" t="n">
        <v>2</v>
      </c>
      <c r="G12" s="60" t="n">
        <v>3</v>
      </c>
      <c r="H12" s="60" t="n">
        <v>4</v>
      </c>
      <c r="I12" s="60" t="n">
        <v>5</v>
      </c>
      <c r="J12" s="60" t="n">
        <v>6</v>
      </c>
      <c r="K12" s="60" t="n">
        <v>7</v>
      </c>
      <c r="L12" s="60" t="n">
        <v>8</v>
      </c>
      <c r="M12" s="60" t="n">
        <v>9</v>
      </c>
      <c r="N12" s="60" t="n">
        <v>10</v>
      </c>
      <c r="O12" s="60" t="n">
        <v>11</v>
      </c>
      <c r="P12" s="60" t="n">
        <v>12</v>
      </c>
      <c r="Q12" s="60" t="n">
        <v>13</v>
      </c>
      <c r="R12" s="60" t="n">
        <v>14</v>
      </c>
      <c r="S12" s="60" t="n">
        <v>15</v>
      </c>
      <c r="T12" s="60" t="n">
        <v>16</v>
      </c>
      <c r="U12" s="60" t="n">
        <v>17</v>
      </c>
      <c r="V12" s="60" t="n">
        <v>18</v>
      </c>
      <c r="W12" s="60" t="n">
        <v>19</v>
      </c>
      <c r="X12" s="60" t="n">
        <v>20</v>
      </c>
      <c r="Y12" s="60" t="n">
        <v>21</v>
      </c>
      <c r="Z12" s="60" t="n">
        <v>22</v>
      </c>
      <c r="AA12" s="60" t="n">
        <v>23</v>
      </c>
      <c r="AB12" s="60" t="n">
        <v>24</v>
      </c>
      <c r="AC12" s="60" t="n">
        <v>25</v>
      </c>
      <c r="AD12" s="60" t="n">
        <v>26</v>
      </c>
      <c r="AE12" s="60" t="n">
        <v>27</v>
      </c>
      <c r="AF12" s="60" t="n">
        <v>28</v>
      </c>
      <c r="AG12" s="60" t="n">
        <v>29</v>
      </c>
      <c r="AH12" s="60" t="n">
        <v>30</v>
      </c>
      <c r="AI12" s="60" t="n">
        <v>31</v>
      </c>
      <c r="AJ12" s="60" t="n">
        <v>32</v>
      </c>
      <c r="AK12" s="60" t="n">
        <v>33</v>
      </c>
      <c r="AL12" s="60" t="n">
        <v>34</v>
      </c>
      <c r="AM12" s="60" t="n">
        <v>35</v>
      </c>
    </row>
    <row r="13" customFormat="false" ht="15" hidden="false" customHeight="true" outlineLevel="0" collapsed="false">
      <c r="A13" s="8" t="s">
        <v>218</v>
      </c>
      <c r="C13" s="10" t="s">
        <v>219</v>
      </c>
      <c r="D13" s="59" t="n">
        <f aca="false">SUM(E13:AM13)</f>
        <v>35</v>
      </c>
      <c r="E13" s="61" t="n">
        <f aca="false">IF(E12&lt;=$B$8,1,0)</f>
        <v>1</v>
      </c>
      <c r="F13" s="61" t="n">
        <f aca="false">IF(F12&lt;=$B$8,1,0)</f>
        <v>1</v>
      </c>
      <c r="G13" s="61" t="n">
        <f aca="false">IF(G12&lt;=$B$8,1,0)</f>
        <v>1</v>
      </c>
      <c r="H13" s="61" t="n">
        <f aca="false">IF(H12&lt;=$B$8,1,0)</f>
        <v>1</v>
      </c>
      <c r="I13" s="61" t="n">
        <f aca="false">IF(I12&lt;=$B$8,1,0)</f>
        <v>1</v>
      </c>
      <c r="J13" s="61" t="n">
        <f aca="false">IF(J12&lt;=$B$8,1,0)</f>
        <v>1</v>
      </c>
      <c r="K13" s="61" t="n">
        <f aca="false">IF(K12&lt;=$B$8,1,0)</f>
        <v>1</v>
      </c>
      <c r="L13" s="61" t="n">
        <f aca="false">IF(L12&lt;=$B$8,1,0)</f>
        <v>1</v>
      </c>
      <c r="M13" s="61" t="n">
        <f aca="false">IF(M12&lt;=$B$8,1,0)</f>
        <v>1</v>
      </c>
      <c r="N13" s="61" t="n">
        <f aca="false">IF(N12&lt;=$B$8,1,0)</f>
        <v>1</v>
      </c>
      <c r="O13" s="61" t="n">
        <f aca="false">IF(O12&lt;=$B$8,1,0)</f>
        <v>1</v>
      </c>
      <c r="P13" s="61" t="n">
        <f aca="false">IF(P12&lt;=$B$8,1,0)</f>
        <v>1</v>
      </c>
      <c r="Q13" s="61" t="n">
        <f aca="false">IF(Q12&lt;=$B$8,1,0)</f>
        <v>1</v>
      </c>
      <c r="R13" s="61" t="n">
        <f aca="false">IF(R12&lt;=$B$8,1,0)</f>
        <v>1</v>
      </c>
      <c r="S13" s="61" t="n">
        <f aca="false">IF(S12&lt;=$B$8,1,0)</f>
        <v>1</v>
      </c>
      <c r="T13" s="61" t="n">
        <f aca="false">IF(T12&lt;=$B$8,1,0)</f>
        <v>1</v>
      </c>
      <c r="U13" s="61" t="n">
        <f aca="false">IF(U12&lt;=$B$8,1,0)</f>
        <v>1</v>
      </c>
      <c r="V13" s="61" t="n">
        <f aca="false">IF(V12&lt;=$B$8,1,0)</f>
        <v>1</v>
      </c>
      <c r="W13" s="61" t="n">
        <f aca="false">IF(W12&lt;=$B$8,1,0)</f>
        <v>1</v>
      </c>
      <c r="X13" s="61" t="n">
        <f aca="false">IF(X12&lt;=$B$8,1,0)</f>
        <v>1</v>
      </c>
      <c r="Y13" s="61" t="n">
        <f aca="false">IF(Y12&lt;=$B$8,1,0)</f>
        <v>1</v>
      </c>
      <c r="Z13" s="61" t="n">
        <f aca="false">IF(Z12&lt;=$B$8,1,0)</f>
        <v>1</v>
      </c>
      <c r="AA13" s="61" t="n">
        <f aca="false">IF(AA12&lt;=$B$8,1,0)</f>
        <v>1</v>
      </c>
      <c r="AB13" s="61" t="n">
        <f aca="false">IF(AB12&lt;=$B$8,1,0)</f>
        <v>1</v>
      </c>
      <c r="AC13" s="61" t="n">
        <f aca="false">IF(AC12&lt;=$B$8,1,0)</f>
        <v>1</v>
      </c>
      <c r="AD13" s="61" t="n">
        <f aca="false">IF(AD12&lt;=$B$8,1,0)</f>
        <v>1</v>
      </c>
      <c r="AE13" s="61" t="n">
        <f aca="false">IF(AE12&lt;=$B$8,1,0)</f>
        <v>1</v>
      </c>
      <c r="AF13" s="61" t="n">
        <f aca="false">IF(AF12&lt;=$B$8,1,0)</f>
        <v>1</v>
      </c>
      <c r="AG13" s="61" t="n">
        <f aca="false">IF(AG12&lt;=$B$8,1,0)</f>
        <v>1</v>
      </c>
      <c r="AH13" s="61" t="n">
        <f aca="false">IF(AH12&lt;=$B$8,1,0)</f>
        <v>1</v>
      </c>
      <c r="AI13" s="61" t="n">
        <f aca="false">IF(AI12&lt;=$B$8,1,0)</f>
        <v>1</v>
      </c>
      <c r="AJ13" s="61" t="n">
        <f aca="false">IF(AJ12&lt;=$B$8,1,0)</f>
        <v>1</v>
      </c>
      <c r="AK13" s="61" t="n">
        <f aca="false">IF(AK12&lt;=$B$8,1,0)</f>
        <v>1</v>
      </c>
      <c r="AL13" s="61" t="n">
        <f aca="false">IF(AL12&lt;=$B$8,1,0)</f>
        <v>1</v>
      </c>
      <c r="AM13" s="61" t="n">
        <f aca="false">IF(AM12&lt;=$B$8,1,0)</f>
        <v>1</v>
      </c>
    </row>
    <row r="14" customFormat="false" ht="15" hidden="false" customHeight="true" outlineLevel="0" collapsed="false">
      <c r="A14" s="8" t="s">
        <v>220</v>
      </c>
      <c r="C14" s="10" t="s">
        <v>219</v>
      </c>
      <c r="D14" s="59" t="n">
        <f aca="false">SUM(E14:AM14)</f>
        <v>20</v>
      </c>
      <c r="E14" s="61" t="n">
        <f aca="false">IF(AND(E12&gt;=1,E12&lt;=$B$7),1,0)</f>
        <v>1</v>
      </c>
      <c r="F14" s="61" t="n">
        <f aca="false">IF(AND(F12&gt;=1,F12&lt;=$B$7),1,0)</f>
        <v>1</v>
      </c>
      <c r="G14" s="61" t="n">
        <f aca="false">IF(AND(G12&gt;=1,G12&lt;=$B$7),1,0)</f>
        <v>1</v>
      </c>
      <c r="H14" s="61" t="n">
        <f aca="false">IF(AND(H12&gt;=1,H12&lt;=$B$7),1,0)</f>
        <v>1</v>
      </c>
      <c r="I14" s="61" t="n">
        <f aca="false">IF(AND(I12&gt;=1,I12&lt;=$B$7),1,0)</f>
        <v>1</v>
      </c>
      <c r="J14" s="61" t="n">
        <f aca="false">IF(AND(J12&gt;=1,J12&lt;=$B$7),1,0)</f>
        <v>1</v>
      </c>
      <c r="K14" s="61" t="n">
        <f aca="false">IF(AND(K12&gt;=1,K12&lt;=$B$7),1,0)</f>
        <v>1</v>
      </c>
      <c r="L14" s="61" t="n">
        <f aca="false">IF(AND(L12&gt;=1,L12&lt;=$B$7),1,0)</f>
        <v>1</v>
      </c>
      <c r="M14" s="61" t="n">
        <f aca="false">IF(AND(M12&gt;=1,M12&lt;=$B$7),1,0)</f>
        <v>1</v>
      </c>
      <c r="N14" s="61" t="n">
        <f aca="false">IF(AND(N12&gt;=1,N12&lt;=$B$7),1,0)</f>
        <v>1</v>
      </c>
      <c r="O14" s="61" t="n">
        <f aca="false">IF(AND(O12&gt;=1,O12&lt;=$B$7),1,0)</f>
        <v>1</v>
      </c>
      <c r="P14" s="61" t="n">
        <f aca="false">IF(AND(P12&gt;=1,P12&lt;=$B$7),1,0)</f>
        <v>1</v>
      </c>
      <c r="Q14" s="61" t="n">
        <f aca="false">IF(AND(Q12&gt;=1,Q12&lt;=$B$7),1,0)</f>
        <v>1</v>
      </c>
      <c r="R14" s="61" t="n">
        <f aca="false">IF(AND(R12&gt;=1,R12&lt;=$B$7),1,0)</f>
        <v>1</v>
      </c>
      <c r="S14" s="61" t="n">
        <f aca="false">IF(AND(S12&gt;=1,S12&lt;=$B$7),1,0)</f>
        <v>1</v>
      </c>
      <c r="T14" s="61" t="n">
        <f aca="false">IF(AND(T12&gt;=1,T12&lt;=$B$7),1,0)</f>
        <v>1</v>
      </c>
      <c r="U14" s="61" t="n">
        <f aca="false">IF(AND(U12&gt;=1,U12&lt;=$B$7),1,0)</f>
        <v>1</v>
      </c>
      <c r="V14" s="61" t="n">
        <f aca="false">IF(AND(V12&gt;=1,V12&lt;=$B$7),1,0)</f>
        <v>1</v>
      </c>
      <c r="W14" s="61" t="n">
        <f aca="false">IF(AND(W12&gt;=1,W12&lt;=$B$7),1,0)</f>
        <v>1</v>
      </c>
      <c r="X14" s="61" t="n">
        <f aca="false">IF(AND(X12&gt;=1,X12&lt;=$B$7),1,0)</f>
        <v>1</v>
      </c>
      <c r="Y14" s="61" t="n">
        <f aca="false">IF(AND(Y12&gt;=1,Y12&lt;=$B$7),1,0)</f>
        <v>0</v>
      </c>
      <c r="Z14" s="61" t="n">
        <f aca="false">IF(AND(Z12&gt;=1,Z12&lt;=$B$7),1,0)</f>
        <v>0</v>
      </c>
      <c r="AA14" s="61" t="n">
        <f aca="false">IF(AND(AA12&gt;=1,AA12&lt;=$B$7),1,0)</f>
        <v>0</v>
      </c>
      <c r="AB14" s="61" t="n">
        <f aca="false">IF(AND(AB12&gt;=1,AB12&lt;=$B$7),1,0)</f>
        <v>0</v>
      </c>
      <c r="AC14" s="61" t="n">
        <f aca="false">IF(AND(AC12&gt;=1,AC12&lt;=$B$7),1,0)</f>
        <v>0</v>
      </c>
      <c r="AD14" s="61" t="n">
        <f aca="false">IF(AND(AD12&gt;=1,AD12&lt;=$B$7),1,0)</f>
        <v>0</v>
      </c>
      <c r="AE14" s="61" t="n">
        <f aca="false">IF(AND(AE12&gt;=1,AE12&lt;=$B$7),1,0)</f>
        <v>0</v>
      </c>
      <c r="AF14" s="61" t="n">
        <f aca="false">IF(AND(AF12&gt;=1,AF12&lt;=$B$7),1,0)</f>
        <v>0</v>
      </c>
      <c r="AG14" s="61" t="n">
        <f aca="false">IF(AND(AG12&gt;=1,AG12&lt;=$B$7),1,0)</f>
        <v>0</v>
      </c>
      <c r="AH14" s="61" t="n">
        <f aca="false">IF(AND(AH12&gt;=1,AH12&lt;=$B$7),1,0)</f>
        <v>0</v>
      </c>
      <c r="AI14" s="61" t="n">
        <f aca="false">IF(AND(AI12&gt;=1,AI12&lt;=$B$7),1,0)</f>
        <v>0</v>
      </c>
      <c r="AJ14" s="61" t="n">
        <f aca="false">IF(AND(AJ12&gt;=1,AJ12&lt;=$B$7),1,0)</f>
        <v>0</v>
      </c>
      <c r="AK14" s="61" t="n">
        <f aca="false">IF(AND(AK12&gt;=1,AK12&lt;=$B$7),1,0)</f>
        <v>0</v>
      </c>
      <c r="AL14" s="61" t="n">
        <f aca="false">IF(AND(AL12&gt;=1,AL12&lt;=$B$7),1,0)</f>
        <v>0</v>
      </c>
      <c r="AM14" s="61" t="n">
        <f aca="false">IF(AND(AM12&gt;=1,AM12&lt;=$B$7),1,0)</f>
        <v>0</v>
      </c>
    </row>
    <row r="15" customFormat="false" ht="15" hidden="false" customHeight="true" outlineLevel="0" collapsed="false">
      <c r="A15" s="8" t="s">
        <v>221</v>
      </c>
      <c r="C15" s="10" t="s">
        <v>219</v>
      </c>
      <c r="D15" s="59" t="n">
        <f aca="false">SUM(E15:AM15)</f>
        <v>15</v>
      </c>
      <c r="E15" s="61" t="n">
        <f aca="false">IF(AND(E12&gt;$B$7,E12&lt;=$B$8),1,0)</f>
        <v>0</v>
      </c>
      <c r="F15" s="61" t="n">
        <f aca="false">IF(AND(F12&gt;$B$7,F12&lt;=$B$8),1,0)</f>
        <v>0</v>
      </c>
      <c r="G15" s="61" t="n">
        <f aca="false">IF(AND(G12&gt;$B$7,G12&lt;=$B$8),1,0)</f>
        <v>0</v>
      </c>
      <c r="H15" s="61" t="n">
        <f aca="false">IF(AND(H12&gt;$B$7,H12&lt;=$B$8),1,0)</f>
        <v>0</v>
      </c>
      <c r="I15" s="61" t="n">
        <f aca="false">IF(AND(I12&gt;$B$7,I12&lt;=$B$8),1,0)</f>
        <v>0</v>
      </c>
      <c r="J15" s="61" t="n">
        <f aca="false">IF(AND(J12&gt;$B$7,J12&lt;=$B$8),1,0)</f>
        <v>0</v>
      </c>
      <c r="K15" s="61" t="n">
        <f aca="false">IF(AND(K12&gt;$B$7,K12&lt;=$B$8),1,0)</f>
        <v>0</v>
      </c>
      <c r="L15" s="61" t="n">
        <f aca="false">IF(AND(L12&gt;$B$7,L12&lt;=$B$8),1,0)</f>
        <v>0</v>
      </c>
      <c r="M15" s="61" t="n">
        <f aca="false">IF(AND(M12&gt;$B$7,M12&lt;=$B$8),1,0)</f>
        <v>0</v>
      </c>
      <c r="N15" s="61" t="n">
        <f aca="false">IF(AND(N12&gt;$B$7,N12&lt;=$B$8),1,0)</f>
        <v>0</v>
      </c>
      <c r="O15" s="61" t="n">
        <f aca="false">IF(AND(O12&gt;$B$7,O12&lt;=$B$8),1,0)</f>
        <v>0</v>
      </c>
      <c r="P15" s="61" t="n">
        <f aca="false">IF(AND(P12&gt;$B$7,P12&lt;=$B$8),1,0)</f>
        <v>0</v>
      </c>
      <c r="Q15" s="61" t="n">
        <f aca="false">IF(AND(Q12&gt;$B$7,Q12&lt;=$B$8),1,0)</f>
        <v>0</v>
      </c>
      <c r="R15" s="61" t="n">
        <f aca="false">IF(AND(R12&gt;$B$7,R12&lt;=$B$8),1,0)</f>
        <v>0</v>
      </c>
      <c r="S15" s="61" t="n">
        <f aca="false">IF(AND(S12&gt;$B$7,S12&lt;=$B$8),1,0)</f>
        <v>0</v>
      </c>
      <c r="T15" s="61" t="n">
        <f aca="false">IF(AND(T12&gt;$B$7,T12&lt;=$B$8),1,0)</f>
        <v>0</v>
      </c>
      <c r="U15" s="61" t="n">
        <f aca="false">IF(AND(U12&gt;$B$7,U12&lt;=$B$8),1,0)</f>
        <v>0</v>
      </c>
      <c r="V15" s="61" t="n">
        <f aca="false">IF(AND(V12&gt;$B$7,V12&lt;=$B$8),1,0)</f>
        <v>0</v>
      </c>
      <c r="W15" s="61" t="n">
        <f aca="false">IF(AND(W12&gt;$B$7,W12&lt;=$B$8),1,0)</f>
        <v>0</v>
      </c>
      <c r="X15" s="61" t="n">
        <f aca="false">IF(AND(X12&gt;$B$7,X12&lt;=$B$8),1,0)</f>
        <v>0</v>
      </c>
      <c r="Y15" s="61" t="n">
        <f aca="false">IF(AND(Y12&gt;$B$7,Y12&lt;=$B$8),1,0)</f>
        <v>1</v>
      </c>
      <c r="Z15" s="61" t="n">
        <f aca="false">IF(AND(Z12&gt;$B$7,Z12&lt;=$B$8),1,0)</f>
        <v>1</v>
      </c>
      <c r="AA15" s="61" t="n">
        <f aca="false">IF(AND(AA12&gt;$B$7,AA12&lt;=$B$8),1,0)</f>
        <v>1</v>
      </c>
      <c r="AB15" s="61" t="n">
        <f aca="false">IF(AND(AB12&gt;$B$7,AB12&lt;=$B$8),1,0)</f>
        <v>1</v>
      </c>
      <c r="AC15" s="61" t="n">
        <f aca="false">IF(AND(AC12&gt;$B$7,AC12&lt;=$B$8),1,0)</f>
        <v>1</v>
      </c>
      <c r="AD15" s="61" t="n">
        <f aca="false">IF(AND(AD12&gt;$B$7,AD12&lt;=$B$8),1,0)</f>
        <v>1</v>
      </c>
      <c r="AE15" s="61" t="n">
        <f aca="false">IF(AND(AE12&gt;$B$7,AE12&lt;=$B$8),1,0)</f>
        <v>1</v>
      </c>
      <c r="AF15" s="61" t="n">
        <f aca="false">IF(AND(AF12&gt;$B$7,AF12&lt;=$B$8),1,0)</f>
        <v>1</v>
      </c>
      <c r="AG15" s="61" t="n">
        <f aca="false">IF(AND(AG12&gt;$B$7,AG12&lt;=$B$8),1,0)</f>
        <v>1</v>
      </c>
      <c r="AH15" s="61" t="n">
        <f aca="false">IF(AND(AH12&gt;$B$7,AH12&lt;=$B$8),1,0)</f>
        <v>1</v>
      </c>
      <c r="AI15" s="61" t="n">
        <f aca="false">IF(AND(AI12&gt;$B$7,AI12&lt;=$B$8),1,0)</f>
        <v>1</v>
      </c>
      <c r="AJ15" s="61" t="n">
        <f aca="false">IF(AND(AJ12&gt;$B$7,AJ12&lt;=$B$8),1,0)</f>
        <v>1</v>
      </c>
      <c r="AK15" s="61" t="n">
        <f aca="false">IF(AND(AK12&gt;$B$7,AK12&lt;=$B$8),1,0)</f>
        <v>1</v>
      </c>
      <c r="AL15" s="61" t="n">
        <f aca="false">IF(AND(AL12&gt;$B$7,AL12&lt;=$B$8),1,0)</f>
        <v>1</v>
      </c>
      <c r="AM15" s="61" t="n">
        <f aca="false">IF(AND(AM12&gt;$B$7,AM12&lt;=$B$8),1,0)</f>
        <v>1</v>
      </c>
    </row>
    <row r="16" customFormat="false" ht="15" hidden="false" customHeight="true" outlineLevel="0" collapsed="false">
      <c r="A16" s="8" t="s">
        <v>222</v>
      </c>
      <c r="C16" s="10" t="s">
        <v>219</v>
      </c>
      <c r="D16" s="59" t="n">
        <f aca="false">SUM(E16:AM16)</f>
        <v>10</v>
      </c>
      <c r="E16" s="61" t="n">
        <f aca="false">IF(AND(E12&gt;=$B$9,E12&lt;$B$9+$B$10),1,0)</f>
        <v>0</v>
      </c>
      <c r="F16" s="61" t="n">
        <f aca="false">IF(AND(F12&gt;=$B$9,F12&lt;$B$9+$B$10),1,0)</f>
        <v>0</v>
      </c>
      <c r="G16" s="61" t="n">
        <f aca="false">IF(AND(G12&gt;=$B$9,G12&lt;$B$9+$B$10),1,0)</f>
        <v>0</v>
      </c>
      <c r="H16" s="61" t="n">
        <f aca="false">IF(AND(H12&gt;=$B$9,H12&lt;$B$9+$B$10),1,0)</f>
        <v>0</v>
      </c>
      <c r="I16" s="61" t="n">
        <f aca="false">IF(AND(I12&gt;=$B$9,I12&lt;$B$9+$B$10),1,0)</f>
        <v>0</v>
      </c>
      <c r="J16" s="61" t="n">
        <f aca="false">IF(AND(J12&gt;=$B$9,J12&lt;$B$9+$B$10),1,0)</f>
        <v>0</v>
      </c>
      <c r="K16" s="61" t="n">
        <f aca="false">IF(AND(K12&gt;=$B$9,K12&lt;$B$9+$B$10),1,0)</f>
        <v>0</v>
      </c>
      <c r="L16" s="61" t="n">
        <f aca="false">IF(AND(L12&gt;=$B$9,L12&lt;$B$9+$B$10),1,0)</f>
        <v>0</v>
      </c>
      <c r="M16" s="61" t="n">
        <f aca="false">IF(AND(M12&gt;=$B$9,M12&lt;$B$9+$B$10),1,0)</f>
        <v>0</v>
      </c>
      <c r="N16" s="61" t="n">
        <f aca="false">IF(AND(N12&gt;=$B$9,N12&lt;$B$9+$B$10),1,0)</f>
        <v>1</v>
      </c>
      <c r="O16" s="61" t="n">
        <f aca="false">IF(AND(O12&gt;=$B$9,O12&lt;$B$9+$B$10),1,0)</f>
        <v>1</v>
      </c>
      <c r="P16" s="61" t="n">
        <f aca="false">IF(AND(P12&gt;=$B$9,P12&lt;$B$9+$B$10),1,0)</f>
        <v>1</v>
      </c>
      <c r="Q16" s="61" t="n">
        <f aca="false">IF(AND(Q12&gt;=$B$9,Q12&lt;$B$9+$B$10),1,0)</f>
        <v>1</v>
      </c>
      <c r="R16" s="61" t="n">
        <f aca="false">IF(AND(R12&gt;=$B$9,R12&lt;$B$9+$B$10),1,0)</f>
        <v>1</v>
      </c>
      <c r="S16" s="61" t="n">
        <f aca="false">IF(AND(S12&gt;=$B$9,S12&lt;$B$9+$B$10),1,0)</f>
        <v>1</v>
      </c>
      <c r="T16" s="61" t="n">
        <f aca="false">IF(AND(T12&gt;=$B$9,T12&lt;$B$9+$B$10),1,0)</f>
        <v>1</v>
      </c>
      <c r="U16" s="61" t="n">
        <f aca="false">IF(AND(U12&gt;=$B$9,U12&lt;$B$9+$B$10),1,0)</f>
        <v>1</v>
      </c>
      <c r="V16" s="61" t="n">
        <f aca="false">IF(AND(V12&gt;=$B$9,V12&lt;$B$9+$B$10),1,0)</f>
        <v>1</v>
      </c>
      <c r="W16" s="61" t="n">
        <f aca="false">IF(AND(W12&gt;=$B$9,W12&lt;$B$9+$B$10),1,0)</f>
        <v>1</v>
      </c>
      <c r="X16" s="61" t="n">
        <f aca="false">IF(AND(X12&gt;=$B$9,X12&lt;$B$9+$B$10),1,0)</f>
        <v>0</v>
      </c>
      <c r="Y16" s="61" t="n">
        <f aca="false">IF(AND(Y12&gt;=$B$9,Y12&lt;$B$9+$B$10),1,0)</f>
        <v>0</v>
      </c>
      <c r="Z16" s="61" t="n">
        <f aca="false">IF(AND(Z12&gt;=$B$9,Z12&lt;$B$9+$B$10),1,0)</f>
        <v>0</v>
      </c>
      <c r="AA16" s="61" t="n">
        <f aca="false">IF(AND(AA12&gt;=$B$9,AA12&lt;$B$9+$B$10),1,0)</f>
        <v>0</v>
      </c>
      <c r="AB16" s="61" t="n">
        <f aca="false">IF(AND(AB12&gt;=$B$9,AB12&lt;$B$9+$B$10),1,0)</f>
        <v>0</v>
      </c>
      <c r="AC16" s="61" t="n">
        <f aca="false">IF(AND(AC12&gt;=$B$9,AC12&lt;$B$9+$B$10),1,0)</f>
        <v>0</v>
      </c>
      <c r="AD16" s="61" t="n">
        <f aca="false">IF(AND(AD12&gt;=$B$9,AD12&lt;$B$9+$B$10),1,0)</f>
        <v>0</v>
      </c>
      <c r="AE16" s="61" t="n">
        <f aca="false">IF(AND(AE12&gt;=$B$9,AE12&lt;$B$9+$B$10),1,0)</f>
        <v>0</v>
      </c>
      <c r="AF16" s="61" t="n">
        <f aca="false">IF(AND(AF12&gt;=$B$9,AF12&lt;$B$9+$B$10),1,0)</f>
        <v>0</v>
      </c>
      <c r="AG16" s="61" t="n">
        <f aca="false">IF(AND(AG12&gt;=$B$9,AG12&lt;$B$9+$B$10),1,0)</f>
        <v>0</v>
      </c>
      <c r="AH16" s="61" t="n">
        <f aca="false">IF(AND(AH12&gt;=$B$9,AH12&lt;$B$9+$B$10),1,0)</f>
        <v>0</v>
      </c>
      <c r="AI16" s="61" t="n">
        <f aca="false">IF(AND(AI12&gt;=$B$9,AI12&lt;$B$9+$B$10),1,0)</f>
        <v>0</v>
      </c>
      <c r="AJ16" s="61" t="n">
        <f aca="false">IF(AND(AJ12&gt;=$B$9,AJ12&lt;$B$9+$B$10),1,0)</f>
        <v>0</v>
      </c>
      <c r="AK16" s="61" t="n">
        <f aca="false">IF(AND(AK12&gt;=$B$9,AK12&lt;$B$9+$B$10),1,0)</f>
        <v>0</v>
      </c>
      <c r="AL16" s="61" t="n">
        <f aca="false">IF(AND(AL12&gt;=$B$9,AL12&lt;$B$9+$B$10),1,0)</f>
        <v>0</v>
      </c>
      <c r="AM16" s="61" t="n">
        <f aca="false">IF(AND(AM12&gt;=$B$9,AM12&lt;$B$9+$B$10),1,0)</f>
        <v>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5" topLeftCell="E6" activePane="bottomRight" state="frozen"/>
      <selection pane="topLeft" activeCell="A1" activeCellId="0" sqref="A1"/>
      <selection pane="topRight" activeCell="E1" activeCellId="0" sqref="E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42"/>
    <col collapsed="false" customWidth="true" hidden="false" outlineLevel="0" max="2" min="2" style="1" width="14"/>
    <col collapsed="false" customWidth="true" hidden="false" outlineLevel="0" max="3" min="3" style="1" width="12"/>
    <col collapsed="false" customWidth="true" hidden="false" outlineLevel="0" max="4" min="4" style="1" width="14"/>
    <col collapsed="false" customWidth="true" hidden="false" outlineLevel="0" max="16" min="5" style="1" width="12"/>
  </cols>
  <sheetData>
    <row r="1" customFormat="false" ht="15" hidden="false" customHeight="true" outlineLevel="0" collapsed="false">
      <c r="A1" s="52" t="s">
        <v>223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customFormat="false" ht="15" hidden="false" customHeight="true" outlineLevel="0" collapsed="false">
      <c r="A2" s="4" t="s">
        <v>205</v>
      </c>
      <c r="C2" s="8" t="s">
        <v>206</v>
      </c>
      <c r="E2" s="53" t="n">
        <v>45658</v>
      </c>
      <c r="F2" s="53" t="n">
        <v>45689</v>
      </c>
      <c r="G2" s="53" t="n">
        <v>45717</v>
      </c>
      <c r="H2" s="53" t="n">
        <v>45748</v>
      </c>
      <c r="I2" s="53" t="n">
        <v>45778</v>
      </c>
      <c r="J2" s="53" t="n">
        <v>45809</v>
      </c>
      <c r="K2" s="53" t="n">
        <v>45839</v>
      </c>
      <c r="L2" s="53" t="n">
        <v>45870</v>
      </c>
      <c r="M2" s="53" t="n">
        <v>45901</v>
      </c>
      <c r="N2" s="53" t="n">
        <v>45931</v>
      </c>
      <c r="O2" s="53" t="n">
        <v>45962</v>
      </c>
      <c r="P2" s="53" t="n">
        <v>45992</v>
      </c>
    </row>
    <row r="3" customFormat="false" ht="15" hidden="false" customHeight="true" outlineLevel="0" collapsed="false">
      <c r="A3" s="4" t="s">
        <v>207</v>
      </c>
      <c r="C3" s="8" t="s">
        <v>206</v>
      </c>
      <c r="E3" s="53" t="n">
        <v>45688</v>
      </c>
      <c r="F3" s="53" t="n">
        <v>45716</v>
      </c>
      <c r="G3" s="53" t="n">
        <v>45747</v>
      </c>
      <c r="H3" s="53" t="n">
        <v>45777</v>
      </c>
      <c r="I3" s="53" t="n">
        <v>45808</v>
      </c>
      <c r="J3" s="53" t="n">
        <v>45838</v>
      </c>
      <c r="K3" s="53" t="n">
        <v>45869</v>
      </c>
      <c r="L3" s="53" t="n">
        <v>45900</v>
      </c>
      <c r="M3" s="53" t="n">
        <v>45930</v>
      </c>
      <c r="N3" s="53" t="n">
        <v>45961</v>
      </c>
      <c r="O3" s="53" t="n">
        <v>45991</v>
      </c>
      <c r="P3" s="53" t="n">
        <v>46022</v>
      </c>
    </row>
    <row r="4" customFormat="false" ht="15" hidden="false" customHeight="true" outlineLevel="0" collapsed="false">
      <c r="A4" s="4" t="s">
        <v>208</v>
      </c>
      <c r="C4" s="8" t="s">
        <v>209</v>
      </c>
      <c r="E4" s="54" t="n">
        <v>1</v>
      </c>
      <c r="F4" s="54" t="n">
        <v>2</v>
      </c>
      <c r="G4" s="54" t="n">
        <v>3</v>
      </c>
      <c r="H4" s="54" t="n">
        <v>4</v>
      </c>
      <c r="I4" s="54" t="n">
        <v>5</v>
      </c>
      <c r="J4" s="54" t="n">
        <v>6</v>
      </c>
      <c r="K4" s="54" t="n">
        <v>7</v>
      </c>
      <c r="L4" s="54" t="n">
        <v>8</v>
      </c>
      <c r="M4" s="54" t="n">
        <v>9</v>
      </c>
      <c r="N4" s="54" t="n">
        <v>10</v>
      </c>
      <c r="O4" s="54" t="n">
        <v>11</v>
      </c>
      <c r="P4" s="54" t="n">
        <v>12</v>
      </c>
    </row>
    <row r="5" customFormat="false" ht="15" hidden="false" customHeight="true" outlineLevel="0" collapsed="false">
      <c r="A5" s="55" t="s">
        <v>210</v>
      </c>
      <c r="B5" s="55" t="s">
        <v>90</v>
      </c>
      <c r="C5" s="55" t="s">
        <v>91</v>
      </c>
      <c r="D5" s="55" t="s">
        <v>211</v>
      </c>
      <c r="E5" s="56" t="n">
        <v>2025</v>
      </c>
      <c r="F5" s="56" t="n">
        <v>2025</v>
      </c>
      <c r="G5" s="56" t="n">
        <v>2025</v>
      </c>
      <c r="H5" s="56" t="n">
        <v>2025</v>
      </c>
      <c r="I5" s="56" t="n">
        <v>2025</v>
      </c>
      <c r="J5" s="56" t="n">
        <v>2025</v>
      </c>
      <c r="K5" s="56" t="n">
        <v>2025</v>
      </c>
      <c r="L5" s="56" t="n">
        <v>2025</v>
      </c>
      <c r="M5" s="56" t="n">
        <v>2025</v>
      </c>
      <c r="N5" s="56" t="n">
        <v>2025</v>
      </c>
      <c r="O5" s="56" t="n">
        <v>2025</v>
      </c>
      <c r="P5" s="56" t="n">
        <v>2025</v>
      </c>
    </row>
    <row r="6" customFormat="false" ht="15" hidden="false" customHeight="true" outlineLevel="0" collapsed="false">
      <c r="A6" s="57" t="s">
        <v>224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customFormat="false" ht="15" hidden="false" customHeight="true" outlineLevel="0" collapsed="false">
      <c r="A7" s="8" t="s">
        <v>225</v>
      </c>
      <c r="B7" s="9" t="n">
        <f aca="false">InpC!B10</f>
        <v>12</v>
      </c>
      <c r="C7" s="10" t="s">
        <v>103</v>
      </c>
    </row>
    <row r="9" customFormat="false" ht="15" hidden="false" customHeight="true" outlineLevel="0" collapsed="false">
      <c r="A9" s="8" t="s">
        <v>226</v>
      </c>
      <c r="C9" s="10" t="s">
        <v>227</v>
      </c>
      <c r="D9" s="59" t="n">
        <f aca="false">SUM(E9:P9)</f>
        <v>78</v>
      </c>
      <c r="E9" s="60" t="n">
        <v>1</v>
      </c>
      <c r="F9" s="60" t="n">
        <v>2</v>
      </c>
      <c r="G9" s="60" t="n">
        <v>3</v>
      </c>
      <c r="H9" s="60" t="n">
        <v>4</v>
      </c>
      <c r="I9" s="60" t="n">
        <v>5</v>
      </c>
      <c r="J9" s="60" t="n">
        <v>6</v>
      </c>
      <c r="K9" s="60" t="n">
        <v>7</v>
      </c>
      <c r="L9" s="60" t="n">
        <v>8</v>
      </c>
      <c r="M9" s="60" t="n">
        <v>9</v>
      </c>
      <c r="N9" s="60" t="n">
        <v>10</v>
      </c>
      <c r="O9" s="60" t="n">
        <v>11</v>
      </c>
      <c r="P9" s="60" t="n">
        <v>12</v>
      </c>
    </row>
    <row r="10" customFormat="false" ht="15" hidden="false" customHeight="true" outlineLevel="0" collapsed="false">
      <c r="A10" s="8" t="s">
        <v>228</v>
      </c>
      <c r="C10" s="10" t="s">
        <v>219</v>
      </c>
      <c r="D10" s="59" t="n">
        <f aca="false">SUM(E10:P10)</f>
        <v>12</v>
      </c>
      <c r="E10" s="61" t="n">
        <f aca="false">IF(E9&lt;=$B$7,1,0)</f>
        <v>1</v>
      </c>
      <c r="F10" s="61" t="n">
        <f aca="false">IF(F9&lt;=$B$7,1,0)</f>
        <v>1</v>
      </c>
      <c r="G10" s="61" t="n">
        <f aca="false">IF(G9&lt;=$B$7,1,0)</f>
        <v>1</v>
      </c>
      <c r="H10" s="61" t="n">
        <f aca="false">IF(H9&lt;=$B$7,1,0)</f>
        <v>1</v>
      </c>
      <c r="I10" s="61" t="n">
        <f aca="false">IF(I9&lt;=$B$7,1,0)</f>
        <v>1</v>
      </c>
      <c r="J10" s="61" t="n">
        <f aca="false">IF(J9&lt;=$B$7,1,0)</f>
        <v>1</v>
      </c>
      <c r="K10" s="61" t="n">
        <f aca="false">IF(K9&lt;=$B$7,1,0)</f>
        <v>1</v>
      </c>
      <c r="L10" s="61" t="n">
        <f aca="false">IF(L9&lt;=$B$7,1,0)</f>
        <v>1</v>
      </c>
      <c r="M10" s="61" t="n">
        <f aca="false">IF(M9&lt;=$B$7,1,0)</f>
        <v>1</v>
      </c>
      <c r="N10" s="61" t="n">
        <f aca="false">IF(N9&lt;=$B$7,1,0)</f>
        <v>1</v>
      </c>
      <c r="O10" s="61" t="n">
        <f aca="false">IF(O9&lt;=$B$7,1,0)</f>
        <v>1</v>
      </c>
      <c r="P10" s="61" t="n">
        <f aca="false">IF(P9&lt;=$B$7,1,0)</f>
        <v>1</v>
      </c>
    </row>
    <row r="11" customFormat="false" ht="15" hidden="false" customHeight="true" outlineLevel="0" collapsed="false">
      <c r="A11" s="8" t="s">
        <v>229</v>
      </c>
      <c r="C11" s="10" t="s">
        <v>219</v>
      </c>
      <c r="D11" s="59" t="n">
        <f aca="false">SUM(E11:P11)</f>
        <v>1</v>
      </c>
      <c r="E11" s="61" t="n">
        <f aca="false">IF(E9=1,1,0)</f>
        <v>1</v>
      </c>
      <c r="F11" s="61" t="n">
        <f aca="false">IF(F9=1,1,0)</f>
        <v>0</v>
      </c>
      <c r="G11" s="61" t="n">
        <f aca="false">IF(G9=1,1,0)</f>
        <v>0</v>
      </c>
      <c r="H11" s="61" t="n">
        <f aca="false">IF(H9=1,1,0)</f>
        <v>0</v>
      </c>
      <c r="I11" s="61" t="n">
        <f aca="false">IF(I9=1,1,0)</f>
        <v>0</v>
      </c>
      <c r="J11" s="61" t="n">
        <f aca="false">IF(J9=1,1,0)</f>
        <v>0</v>
      </c>
      <c r="K11" s="61" t="n">
        <f aca="false">IF(K9=1,1,0)</f>
        <v>0</v>
      </c>
      <c r="L11" s="61" t="n">
        <f aca="false">IF(L9=1,1,0)</f>
        <v>0</v>
      </c>
      <c r="M11" s="61" t="n">
        <f aca="false">IF(M9=1,1,0)</f>
        <v>0</v>
      </c>
      <c r="N11" s="61" t="n">
        <f aca="false">IF(N9=1,1,0)</f>
        <v>0</v>
      </c>
      <c r="O11" s="61" t="n">
        <f aca="false">IF(O9=1,1,0)</f>
        <v>0</v>
      </c>
      <c r="P11" s="61" t="n">
        <f aca="false">IF(P9=1,1,0)</f>
        <v>0</v>
      </c>
    </row>
    <row r="12" customFormat="false" ht="15" hidden="false" customHeight="true" outlineLevel="0" collapsed="false">
      <c r="A12" s="8" t="s">
        <v>230</v>
      </c>
      <c r="C12" s="10" t="s">
        <v>219</v>
      </c>
      <c r="D12" s="59" t="n">
        <f aca="false">SUM(E12:P12)</f>
        <v>1</v>
      </c>
      <c r="E12" s="61" t="n">
        <f aca="false">IF(E9=$B$7,1,0)</f>
        <v>0</v>
      </c>
      <c r="F12" s="61" t="n">
        <f aca="false">IF(F9=$B$7,1,0)</f>
        <v>0</v>
      </c>
      <c r="G12" s="61" t="n">
        <f aca="false">IF(G9=$B$7,1,0)</f>
        <v>0</v>
      </c>
      <c r="H12" s="61" t="n">
        <f aca="false">IF(H9=$B$7,1,0)</f>
        <v>0</v>
      </c>
      <c r="I12" s="61" t="n">
        <f aca="false">IF(I9=$B$7,1,0)</f>
        <v>0</v>
      </c>
      <c r="J12" s="61" t="n">
        <f aca="false">IF(J9=$B$7,1,0)</f>
        <v>0</v>
      </c>
      <c r="K12" s="61" t="n">
        <f aca="false">IF(K9=$B$7,1,0)</f>
        <v>0</v>
      </c>
      <c r="L12" s="61" t="n">
        <f aca="false">IF(L9=$B$7,1,0)</f>
        <v>0</v>
      </c>
      <c r="M12" s="61" t="n">
        <f aca="false">IF(M9=$B$7,1,0)</f>
        <v>0</v>
      </c>
      <c r="N12" s="61" t="n">
        <f aca="false">IF(N9=$B$7,1,0)</f>
        <v>0</v>
      </c>
      <c r="O12" s="61" t="n">
        <f aca="false">IF(O9=$B$7,1,0)</f>
        <v>0</v>
      </c>
      <c r="P12" s="61" t="n">
        <f aca="false">IF(P9=$B$7,1,0)</f>
        <v>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5" topLeftCell="E6" activePane="bottomRight" state="frozen"/>
      <selection pane="topLeft" activeCell="A1" activeCellId="0" sqref="A1"/>
      <selection pane="topRight" activeCell="E1" activeCellId="0" sqref="E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42"/>
    <col collapsed="false" customWidth="true" hidden="false" outlineLevel="0" max="2" min="2" style="1" width="14"/>
    <col collapsed="false" customWidth="true" hidden="false" outlineLevel="0" max="3" min="3" style="1" width="12"/>
    <col collapsed="false" customWidth="true" hidden="false" outlineLevel="0" max="4" min="4" style="1" width="14"/>
    <col collapsed="false" customWidth="true" hidden="false" outlineLevel="0" max="39" min="5" style="1" width="12"/>
  </cols>
  <sheetData>
    <row r="1" customFormat="false" ht="15" hidden="false" customHeight="true" outlineLevel="0" collapsed="false">
      <c r="A1" s="52" t="s">
        <v>231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customFormat="false" ht="15" hidden="false" customHeight="true" outlineLevel="0" collapsed="false">
      <c r="A2" s="4" t="s">
        <v>205</v>
      </c>
      <c r="C2" s="8" t="s">
        <v>206</v>
      </c>
      <c r="E2" s="53" t="n">
        <v>46023</v>
      </c>
      <c r="F2" s="53" t="n">
        <v>46388</v>
      </c>
      <c r="G2" s="53" t="n">
        <v>46753</v>
      </c>
      <c r="H2" s="53" t="n">
        <v>47119</v>
      </c>
      <c r="I2" s="53" t="n">
        <v>47484</v>
      </c>
      <c r="J2" s="53" t="n">
        <v>47849</v>
      </c>
      <c r="K2" s="53" t="n">
        <v>48214</v>
      </c>
      <c r="L2" s="53" t="n">
        <v>48580</v>
      </c>
      <c r="M2" s="53" t="n">
        <v>48945</v>
      </c>
      <c r="N2" s="53" t="n">
        <v>49310</v>
      </c>
      <c r="O2" s="53" t="n">
        <v>49675</v>
      </c>
      <c r="P2" s="53" t="n">
        <v>50041</v>
      </c>
      <c r="Q2" s="53" t="n">
        <v>50406</v>
      </c>
      <c r="R2" s="53" t="n">
        <v>50771</v>
      </c>
      <c r="S2" s="53" t="n">
        <v>51136</v>
      </c>
      <c r="T2" s="53" t="n">
        <v>51502</v>
      </c>
      <c r="U2" s="53" t="n">
        <v>51867</v>
      </c>
      <c r="V2" s="53" t="n">
        <v>52232</v>
      </c>
      <c r="W2" s="53" t="n">
        <v>52597</v>
      </c>
      <c r="X2" s="53" t="n">
        <v>52963</v>
      </c>
      <c r="Y2" s="53" t="n">
        <v>53328</v>
      </c>
      <c r="Z2" s="53" t="n">
        <v>53693</v>
      </c>
      <c r="AA2" s="53" t="n">
        <v>54058</v>
      </c>
      <c r="AB2" s="53" t="n">
        <v>54424</v>
      </c>
      <c r="AC2" s="53" t="n">
        <v>54789</v>
      </c>
      <c r="AD2" s="53" t="n">
        <v>55154</v>
      </c>
      <c r="AE2" s="53" t="n">
        <v>55519</v>
      </c>
      <c r="AF2" s="53" t="n">
        <v>55885</v>
      </c>
      <c r="AG2" s="53" t="n">
        <v>56250</v>
      </c>
      <c r="AH2" s="53" t="n">
        <v>56615</v>
      </c>
      <c r="AI2" s="53" t="n">
        <v>56980</v>
      </c>
      <c r="AJ2" s="53" t="n">
        <v>57346</v>
      </c>
      <c r="AK2" s="53" t="n">
        <v>57711</v>
      </c>
      <c r="AL2" s="53" t="n">
        <v>58076</v>
      </c>
      <c r="AM2" s="53" t="n">
        <v>58441</v>
      </c>
    </row>
    <row r="3" customFormat="false" ht="15" hidden="false" customHeight="true" outlineLevel="0" collapsed="false">
      <c r="A3" s="4" t="s">
        <v>207</v>
      </c>
      <c r="C3" s="8" t="s">
        <v>206</v>
      </c>
      <c r="E3" s="53" t="n">
        <v>46387</v>
      </c>
      <c r="F3" s="53" t="n">
        <v>46752</v>
      </c>
      <c r="G3" s="53" t="n">
        <v>47118</v>
      </c>
      <c r="H3" s="53" t="n">
        <v>47483</v>
      </c>
      <c r="I3" s="53" t="n">
        <v>47848</v>
      </c>
      <c r="J3" s="53" t="n">
        <v>48213</v>
      </c>
      <c r="K3" s="53" t="n">
        <v>48579</v>
      </c>
      <c r="L3" s="53" t="n">
        <v>48944</v>
      </c>
      <c r="M3" s="53" t="n">
        <v>49309</v>
      </c>
      <c r="N3" s="53" t="n">
        <v>49674</v>
      </c>
      <c r="O3" s="53" t="n">
        <v>50040</v>
      </c>
      <c r="P3" s="53" t="n">
        <v>50405</v>
      </c>
      <c r="Q3" s="53" t="n">
        <v>50770</v>
      </c>
      <c r="R3" s="53" t="n">
        <v>51135</v>
      </c>
      <c r="S3" s="53" t="n">
        <v>51501</v>
      </c>
      <c r="T3" s="53" t="n">
        <v>51866</v>
      </c>
      <c r="U3" s="53" t="n">
        <v>52231</v>
      </c>
      <c r="V3" s="53" t="n">
        <v>52596</v>
      </c>
      <c r="W3" s="53" t="n">
        <v>52962</v>
      </c>
      <c r="X3" s="53" t="n">
        <v>53327</v>
      </c>
      <c r="Y3" s="53" t="n">
        <v>53692</v>
      </c>
      <c r="Z3" s="53" t="n">
        <v>54057</v>
      </c>
      <c r="AA3" s="53" t="n">
        <v>54423</v>
      </c>
      <c r="AB3" s="53" t="n">
        <v>54788</v>
      </c>
      <c r="AC3" s="53" t="n">
        <v>55153</v>
      </c>
      <c r="AD3" s="53" t="n">
        <v>55518</v>
      </c>
      <c r="AE3" s="53" t="n">
        <v>55884</v>
      </c>
      <c r="AF3" s="53" t="n">
        <v>56249</v>
      </c>
      <c r="AG3" s="53" t="n">
        <v>56614</v>
      </c>
      <c r="AH3" s="53" t="n">
        <v>56979</v>
      </c>
      <c r="AI3" s="53" t="n">
        <v>57345</v>
      </c>
      <c r="AJ3" s="53" t="n">
        <v>57710</v>
      </c>
      <c r="AK3" s="53" t="n">
        <v>58075</v>
      </c>
      <c r="AL3" s="53" t="n">
        <v>58440</v>
      </c>
      <c r="AM3" s="53" t="n">
        <v>58806</v>
      </c>
    </row>
    <row r="4" customFormat="false" ht="15" hidden="false" customHeight="true" outlineLevel="0" collapsed="false">
      <c r="A4" s="4" t="s">
        <v>208</v>
      </c>
      <c r="C4" s="8" t="s">
        <v>209</v>
      </c>
      <c r="E4" s="54" t="n">
        <v>1</v>
      </c>
      <c r="F4" s="54" t="n">
        <v>2</v>
      </c>
      <c r="G4" s="54" t="n">
        <v>3</v>
      </c>
      <c r="H4" s="54" t="n">
        <v>4</v>
      </c>
      <c r="I4" s="54" t="n">
        <v>5</v>
      </c>
      <c r="J4" s="54" t="n">
        <v>6</v>
      </c>
      <c r="K4" s="54" t="n">
        <v>7</v>
      </c>
      <c r="L4" s="54" t="n">
        <v>8</v>
      </c>
      <c r="M4" s="54" t="n">
        <v>9</v>
      </c>
      <c r="N4" s="54" t="n">
        <v>10</v>
      </c>
      <c r="O4" s="54" t="n">
        <v>11</v>
      </c>
      <c r="P4" s="54" t="n">
        <v>12</v>
      </c>
      <c r="Q4" s="54" t="n">
        <v>13</v>
      </c>
      <c r="R4" s="54" t="n">
        <v>14</v>
      </c>
      <c r="S4" s="54" t="n">
        <v>15</v>
      </c>
      <c r="T4" s="54" t="n">
        <v>16</v>
      </c>
      <c r="U4" s="54" t="n">
        <v>17</v>
      </c>
      <c r="V4" s="54" t="n">
        <v>18</v>
      </c>
      <c r="W4" s="54" t="n">
        <v>19</v>
      </c>
      <c r="X4" s="54" t="n">
        <v>20</v>
      </c>
      <c r="Y4" s="54" t="n">
        <v>21</v>
      </c>
      <c r="Z4" s="54" t="n">
        <v>22</v>
      </c>
      <c r="AA4" s="54" t="n">
        <v>23</v>
      </c>
      <c r="AB4" s="54" t="n">
        <v>24</v>
      </c>
      <c r="AC4" s="54" t="n">
        <v>25</v>
      </c>
      <c r="AD4" s="54" t="n">
        <v>26</v>
      </c>
      <c r="AE4" s="54" t="n">
        <v>27</v>
      </c>
      <c r="AF4" s="54" t="n">
        <v>28</v>
      </c>
      <c r="AG4" s="54" t="n">
        <v>29</v>
      </c>
      <c r="AH4" s="54" t="n">
        <v>30</v>
      </c>
      <c r="AI4" s="54" t="n">
        <v>31</v>
      </c>
      <c r="AJ4" s="54" t="n">
        <v>32</v>
      </c>
      <c r="AK4" s="54" t="n">
        <v>33</v>
      </c>
      <c r="AL4" s="54" t="n">
        <v>34</v>
      </c>
      <c r="AM4" s="54" t="n">
        <v>35</v>
      </c>
    </row>
    <row r="5" customFormat="false" ht="15" hidden="false" customHeight="true" outlineLevel="0" collapsed="false">
      <c r="A5" s="55" t="s">
        <v>210</v>
      </c>
      <c r="B5" s="55" t="s">
        <v>90</v>
      </c>
      <c r="C5" s="55" t="s">
        <v>91</v>
      </c>
      <c r="D5" s="55" t="s">
        <v>211</v>
      </c>
      <c r="E5" s="56" t="n">
        <v>2026</v>
      </c>
      <c r="F5" s="56" t="n">
        <v>2027</v>
      </c>
      <c r="G5" s="56" t="n">
        <v>2028</v>
      </c>
      <c r="H5" s="56" t="n">
        <v>2029</v>
      </c>
      <c r="I5" s="56" t="n">
        <v>2030</v>
      </c>
      <c r="J5" s="56" t="n">
        <v>2031</v>
      </c>
      <c r="K5" s="56" t="n">
        <v>2032</v>
      </c>
      <c r="L5" s="56" t="n">
        <v>2033</v>
      </c>
      <c r="M5" s="56" t="n">
        <v>2034</v>
      </c>
      <c r="N5" s="56" t="n">
        <v>2035</v>
      </c>
      <c r="O5" s="56" t="n">
        <v>2036</v>
      </c>
      <c r="P5" s="56" t="n">
        <v>2037</v>
      </c>
      <c r="Q5" s="56" t="n">
        <v>2038</v>
      </c>
      <c r="R5" s="56" t="n">
        <v>2039</v>
      </c>
      <c r="S5" s="56" t="n">
        <v>2040</v>
      </c>
      <c r="T5" s="56" t="n">
        <v>2041</v>
      </c>
      <c r="U5" s="56" t="n">
        <v>2042</v>
      </c>
      <c r="V5" s="56" t="n">
        <v>2043</v>
      </c>
      <c r="W5" s="56" t="n">
        <v>2044</v>
      </c>
      <c r="X5" s="56" t="n">
        <v>2045</v>
      </c>
      <c r="Y5" s="56" t="n">
        <v>2046</v>
      </c>
      <c r="Z5" s="56" t="n">
        <v>2047</v>
      </c>
      <c r="AA5" s="56" t="n">
        <v>2048</v>
      </c>
      <c r="AB5" s="56" t="n">
        <v>2049</v>
      </c>
      <c r="AC5" s="56" t="n">
        <v>2050</v>
      </c>
      <c r="AD5" s="56" t="n">
        <v>2051</v>
      </c>
      <c r="AE5" s="56" t="n">
        <v>2052</v>
      </c>
      <c r="AF5" s="56" t="n">
        <v>2053</v>
      </c>
      <c r="AG5" s="56" t="n">
        <v>2054</v>
      </c>
      <c r="AH5" s="56" t="n">
        <v>2055</v>
      </c>
      <c r="AI5" s="56" t="n">
        <v>2056</v>
      </c>
      <c r="AJ5" s="56" t="n">
        <v>2057</v>
      </c>
      <c r="AK5" s="56" t="n">
        <v>2058</v>
      </c>
      <c r="AL5" s="56" t="n">
        <v>2059</v>
      </c>
      <c r="AM5" s="56" t="n">
        <v>2060</v>
      </c>
    </row>
    <row r="6" customFormat="false" ht="15" hidden="false" customHeight="true" outlineLevel="0" collapsed="false">
      <c r="A6" s="57" t="s">
        <v>232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</row>
    <row r="7" customFormat="false" ht="15" hidden="false" customHeight="true" outlineLevel="0" collapsed="false">
      <c r="A7" s="8" t="s">
        <v>233</v>
      </c>
      <c r="B7" s="12" t="n">
        <f aca="false">InpC!B20</f>
        <v>0.01</v>
      </c>
      <c r="C7" s="10" t="s">
        <v>15</v>
      </c>
    </row>
    <row r="8" customFormat="false" ht="15" hidden="false" customHeight="true" outlineLevel="0" collapsed="false">
      <c r="A8" s="8" t="s">
        <v>234</v>
      </c>
      <c r="B8" s="12" t="n">
        <f aca="false">InpC!B24</f>
        <v>0.02</v>
      </c>
      <c r="C8" s="10" t="s">
        <v>15</v>
      </c>
    </row>
    <row r="9" customFormat="false" ht="15" hidden="false" customHeight="true" outlineLevel="0" collapsed="false">
      <c r="A9" s="8" t="s">
        <v>235</v>
      </c>
      <c r="B9" s="12" t="n">
        <f aca="false">InpC!B27</f>
        <v>0.02</v>
      </c>
      <c r="C9" s="10" t="s">
        <v>15</v>
      </c>
    </row>
    <row r="10" customFormat="false" ht="15" hidden="false" customHeight="true" outlineLevel="0" collapsed="false">
      <c r="A10" s="8" t="s">
        <v>236</v>
      </c>
      <c r="B10" s="12" t="n">
        <f aca="false">InpC!B29</f>
        <v>0.02</v>
      </c>
      <c r="C10" s="10" t="s">
        <v>15</v>
      </c>
    </row>
    <row r="11" customFormat="false" ht="15" hidden="false" customHeight="true" outlineLevel="0" collapsed="false">
      <c r="A11" s="8" t="s">
        <v>237</v>
      </c>
      <c r="C11" s="10" t="s">
        <v>42</v>
      </c>
      <c r="E11" s="9" t="n">
        <f aca="false">Time!E12</f>
        <v>1</v>
      </c>
      <c r="F11" s="9" t="n">
        <f aca="false">Time!F12</f>
        <v>2</v>
      </c>
      <c r="G11" s="9" t="n">
        <f aca="false">Time!G12</f>
        <v>3</v>
      </c>
      <c r="H11" s="9" t="n">
        <f aca="false">Time!H12</f>
        <v>4</v>
      </c>
      <c r="I11" s="9" t="n">
        <f aca="false">Time!I12</f>
        <v>5</v>
      </c>
      <c r="J11" s="9" t="n">
        <f aca="false">Time!J12</f>
        <v>6</v>
      </c>
      <c r="K11" s="9" t="n">
        <f aca="false">Time!K12</f>
        <v>7</v>
      </c>
      <c r="L11" s="9" t="n">
        <f aca="false">Time!L12</f>
        <v>8</v>
      </c>
      <c r="M11" s="9" t="n">
        <f aca="false">Time!M12</f>
        <v>9</v>
      </c>
      <c r="N11" s="9" t="n">
        <f aca="false">Time!N12</f>
        <v>10</v>
      </c>
      <c r="O11" s="9" t="n">
        <f aca="false">Time!O12</f>
        <v>11</v>
      </c>
      <c r="P11" s="9" t="n">
        <f aca="false">Time!P12</f>
        <v>12</v>
      </c>
      <c r="Q11" s="9" t="n">
        <f aca="false">Time!Q12</f>
        <v>13</v>
      </c>
      <c r="R11" s="9" t="n">
        <f aca="false">Time!R12</f>
        <v>14</v>
      </c>
      <c r="S11" s="9" t="n">
        <f aca="false">Time!S12</f>
        <v>15</v>
      </c>
      <c r="T11" s="9" t="n">
        <f aca="false">Time!T12</f>
        <v>16</v>
      </c>
      <c r="U11" s="9" t="n">
        <f aca="false">Time!U12</f>
        <v>17</v>
      </c>
      <c r="V11" s="9" t="n">
        <f aca="false">Time!V12</f>
        <v>18</v>
      </c>
      <c r="W11" s="9" t="n">
        <f aca="false">Time!W12</f>
        <v>19</v>
      </c>
      <c r="X11" s="9" t="n">
        <f aca="false">Time!X12</f>
        <v>20</v>
      </c>
      <c r="Y11" s="9" t="n">
        <f aca="false">Time!Y12</f>
        <v>21</v>
      </c>
      <c r="Z11" s="9" t="n">
        <f aca="false">Time!Z12</f>
        <v>22</v>
      </c>
      <c r="AA11" s="9" t="n">
        <f aca="false">Time!AA12</f>
        <v>23</v>
      </c>
      <c r="AB11" s="9" t="n">
        <f aca="false">Time!AB12</f>
        <v>24</v>
      </c>
      <c r="AC11" s="9" t="n">
        <f aca="false">Time!AC12</f>
        <v>25</v>
      </c>
      <c r="AD11" s="9" t="n">
        <f aca="false">Time!AD12</f>
        <v>26</v>
      </c>
      <c r="AE11" s="9" t="n">
        <f aca="false">Time!AE12</f>
        <v>27</v>
      </c>
      <c r="AF11" s="9" t="n">
        <f aca="false">Time!AF12</f>
        <v>28</v>
      </c>
      <c r="AG11" s="9" t="n">
        <f aca="false">Time!AG12</f>
        <v>29</v>
      </c>
      <c r="AH11" s="9" t="n">
        <f aca="false">Time!AH12</f>
        <v>30</v>
      </c>
      <c r="AI11" s="9" t="n">
        <f aca="false">Time!AI12</f>
        <v>31</v>
      </c>
      <c r="AJ11" s="9" t="n">
        <f aca="false">Time!AJ12</f>
        <v>32</v>
      </c>
      <c r="AK11" s="9" t="n">
        <f aca="false">Time!AK12</f>
        <v>33</v>
      </c>
      <c r="AL11" s="9" t="n">
        <f aca="false">Time!AL12</f>
        <v>34</v>
      </c>
      <c r="AM11" s="9" t="n">
        <f aca="false">Time!AM12</f>
        <v>35</v>
      </c>
    </row>
    <row r="13" customFormat="false" ht="15" hidden="false" customHeight="true" outlineLevel="0" collapsed="false">
      <c r="A13" s="57" t="s">
        <v>238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</row>
    <row r="14" customFormat="false" ht="15" hidden="false" customHeight="true" outlineLevel="0" collapsed="false">
      <c r="A14" s="8" t="s">
        <v>239</v>
      </c>
      <c r="C14" s="10" t="s">
        <v>9</v>
      </c>
      <c r="E14" s="62" t="n">
        <f aca="false">(1+$B$7)^(E11-1)</f>
        <v>1</v>
      </c>
      <c r="F14" s="62" t="n">
        <f aca="false">(1+$B$7)^(F11-1)</f>
        <v>1.01</v>
      </c>
      <c r="G14" s="62" t="n">
        <f aca="false">(1+$B$7)^(G11-1)</f>
        <v>1.0201</v>
      </c>
      <c r="H14" s="62" t="n">
        <f aca="false">(1+$B$7)^(H11-1)</f>
        <v>1.030301</v>
      </c>
      <c r="I14" s="62" t="n">
        <f aca="false">(1+$B$7)^(I11-1)</f>
        <v>1.04060401</v>
      </c>
      <c r="J14" s="62" t="n">
        <f aca="false">(1+$B$7)^(J11-1)</f>
        <v>1.0510100501</v>
      </c>
      <c r="K14" s="62" t="n">
        <f aca="false">(1+$B$7)^(K11-1)</f>
        <v>1.061520150601</v>
      </c>
      <c r="L14" s="62" t="n">
        <f aca="false">(1+$B$7)^(L11-1)</f>
        <v>1.07213535210701</v>
      </c>
      <c r="M14" s="62" t="n">
        <f aca="false">(1+$B$7)^(M11-1)</f>
        <v>1.08285670562808</v>
      </c>
      <c r="N14" s="62" t="n">
        <f aca="false">(1+$B$7)^(N11-1)</f>
        <v>1.09368527268436</v>
      </c>
      <c r="O14" s="62" t="n">
        <f aca="false">(1+$B$7)^(O11-1)</f>
        <v>1.1046221254112</v>
      </c>
      <c r="P14" s="62" t="n">
        <f aca="false">(1+$B$7)^(P11-1)</f>
        <v>1.11566834666532</v>
      </c>
      <c r="Q14" s="62" t="n">
        <f aca="false">(1+$B$7)^(Q11-1)</f>
        <v>1.12682503013197</v>
      </c>
      <c r="R14" s="62" t="n">
        <f aca="false">(1+$B$7)^(R11-1)</f>
        <v>1.13809328043329</v>
      </c>
      <c r="S14" s="62" t="n">
        <f aca="false">(1+$B$7)^(S11-1)</f>
        <v>1.14947421323762</v>
      </c>
      <c r="T14" s="62" t="n">
        <f aca="false">(1+$B$7)^(T11-1)</f>
        <v>1.16096895537</v>
      </c>
      <c r="U14" s="62" t="n">
        <f aca="false">(1+$B$7)^(U11-1)</f>
        <v>1.1725786449237</v>
      </c>
      <c r="V14" s="62" t="n">
        <f aca="false">(1+$B$7)^(V11-1)</f>
        <v>1.18430443137294</v>
      </c>
      <c r="W14" s="62" t="n">
        <f aca="false">(1+$B$7)^(W11-1)</f>
        <v>1.19614747568667</v>
      </c>
      <c r="X14" s="62" t="n">
        <f aca="false">(1+$B$7)^(X11-1)</f>
        <v>1.20810895044353</v>
      </c>
      <c r="Y14" s="62" t="n">
        <f aca="false">(1+$B$7)^(Y11-1)</f>
        <v>1.22019003994797</v>
      </c>
      <c r="Z14" s="62" t="n">
        <f aca="false">(1+$B$7)^(Z11-1)</f>
        <v>1.23239194034745</v>
      </c>
      <c r="AA14" s="62" t="n">
        <f aca="false">(1+$B$7)^(AA11-1)</f>
        <v>1.24471585975092</v>
      </c>
      <c r="AB14" s="62" t="n">
        <f aca="false">(1+$B$7)^(AB11-1)</f>
        <v>1.25716301834843</v>
      </c>
      <c r="AC14" s="62" t="n">
        <f aca="false">(1+$B$7)^(AC11-1)</f>
        <v>1.26973464853191</v>
      </c>
      <c r="AD14" s="62" t="n">
        <f aca="false">(1+$B$7)^(AD11-1)</f>
        <v>1.28243199501723</v>
      </c>
      <c r="AE14" s="62" t="n">
        <f aca="false">(1+$B$7)^(AE11-1)</f>
        <v>1.29525631496741</v>
      </c>
      <c r="AF14" s="62" t="n">
        <f aca="false">(1+$B$7)^(AF11-1)</f>
        <v>1.30820887811708</v>
      </c>
      <c r="AG14" s="62" t="n">
        <f aca="false">(1+$B$7)^(AG11-1)</f>
        <v>1.32129096689825</v>
      </c>
      <c r="AH14" s="62" t="n">
        <f aca="false">(1+$B$7)^(AH11-1)</f>
        <v>1.33450387656723</v>
      </c>
      <c r="AI14" s="62" t="n">
        <f aca="false">(1+$B$7)^(AI11-1)</f>
        <v>1.34784891533291</v>
      </c>
      <c r="AJ14" s="62" t="n">
        <f aca="false">(1+$B$7)^(AJ11-1)</f>
        <v>1.36132740448624</v>
      </c>
      <c r="AK14" s="62" t="n">
        <f aca="false">(1+$B$7)^(AK11-1)</f>
        <v>1.3749406785311</v>
      </c>
      <c r="AL14" s="62" t="n">
        <f aca="false">(1+$B$7)^(AL11-1)</f>
        <v>1.38869008531641</v>
      </c>
      <c r="AM14" s="62" t="n">
        <f aca="false">(1+$B$7)^(AM11-1)</f>
        <v>1.40257698616957</v>
      </c>
    </row>
    <row r="15" customFormat="false" ht="15" hidden="false" customHeight="true" outlineLevel="0" collapsed="false">
      <c r="A15" s="8" t="s">
        <v>240</v>
      </c>
      <c r="C15" s="10" t="s">
        <v>9</v>
      </c>
      <c r="E15" s="62" t="n">
        <f aca="false">(1+$B$8)^(E11-1)</f>
        <v>1</v>
      </c>
      <c r="F15" s="62" t="n">
        <f aca="false">(1+$B$8)^(F11-1)</f>
        <v>1.02</v>
      </c>
      <c r="G15" s="62" t="n">
        <f aca="false">(1+$B$8)^(G11-1)</f>
        <v>1.0404</v>
      </c>
      <c r="H15" s="62" t="n">
        <f aca="false">(1+$B$8)^(H11-1)</f>
        <v>1.061208</v>
      </c>
      <c r="I15" s="62" t="n">
        <f aca="false">(1+$B$8)^(I11-1)</f>
        <v>1.08243216</v>
      </c>
      <c r="J15" s="62" t="n">
        <f aca="false">(1+$B$8)^(J11-1)</f>
        <v>1.1040808032</v>
      </c>
      <c r="K15" s="62" t="n">
        <f aca="false">(1+$B$8)^(K11-1)</f>
        <v>1.126162419264</v>
      </c>
      <c r="L15" s="62" t="n">
        <f aca="false">(1+$B$8)^(L11-1)</f>
        <v>1.14868566764928</v>
      </c>
      <c r="M15" s="62" t="n">
        <f aca="false">(1+$B$8)^(M11-1)</f>
        <v>1.17165938100227</v>
      </c>
      <c r="N15" s="62" t="n">
        <f aca="false">(1+$B$8)^(N11-1)</f>
        <v>1.19509256862231</v>
      </c>
      <c r="O15" s="62" t="n">
        <f aca="false">(1+$B$8)^(O11-1)</f>
        <v>1.21899441999476</v>
      </c>
      <c r="P15" s="62" t="n">
        <f aca="false">(1+$B$8)^(P11-1)</f>
        <v>1.24337430839465</v>
      </c>
      <c r="Q15" s="62" t="n">
        <f aca="false">(1+$B$8)^(Q11-1)</f>
        <v>1.26824179456255</v>
      </c>
      <c r="R15" s="62" t="n">
        <f aca="false">(1+$B$8)^(R11-1)</f>
        <v>1.2936066304538</v>
      </c>
      <c r="S15" s="62" t="n">
        <f aca="false">(1+$B$8)^(S11-1)</f>
        <v>1.31947876306287</v>
      </c>
      <c r="T15" s="62" t="n">
        <f aca="false">(1+$B$8)^(T11-1)</f>
        <v>1.34586833832413</v>
      </c>
      <c r="U15" s="62" t="n">
        <f aca="false">(1+$B$8)^(U11-1)</f>
        <v>1.37278570509061</v>
      </c>
      <c r="V15" s="62" t="n">
        <f aca="false">(1+$B$8)^(V11-1)</f>
        <v>1.40024141919242</v>
      </c>
      <c r="W15" s="62" t="n">
        <f aca="false">(1+$B$8)^(W11-1)</f>
        <v>1.42824624757627</v>
      </c>
      <c r="X15" s="62" t="n">
        <f aca="false">(1+$B$8)^(X11-1)</f>
        <v>1.4568111725278</v>
      </c>
      <c r="Y15" s="62" t="n">
        <f aca="false">(1+$B$8)^(Y11-1)</f>
        <v>1.48594739597836</v>
      </c>
      <c r="Z15" s="62" t="n">
        <f aca="false">(1+$B$8)^(Z11-1)</f>
        <v>1.51566634389792</v>
      </c>
      <c r="AA15" s="62" t="n">
        <f aca="false">(1+$B$8)^(AA11-1)</f>
        <v>1.54597967077588</v>
      </c>
      <c r="AB15" s="62" t="n">
        <f aca="false">(1+$B$8)^(AB11-1)</f>
        <v>1.5768992641914</v>
      </c>
      <c r="AC15" s="62" t="n">
        <f aca="false">(1+$B$8)^(AC11-1)</f>
        <v>1.60843724947523</v>
      </c>
      <c r="AD15" s="62" t="n">
        <f aca="false">(1+$B$8)^(AD11-1)</f>
        <v>1.64060599446473</v>
      </c>
      <c r="AE15" s="62" t="n">
        <f aca="false">(1+$B$8)^(AE11-1)</f>
        <v>1.67341811435403</v>
      </c>
      <c r="AF15" s="62" t="n">
        <f aca="false">(1+$B$8)^(AF11-1)</f>
        <v>1.70688647664111</v>
      </c>
      <c r="AG15" s="62" t="n">
        <f aca="false">(1+$B$8)^(AG11-1)</f>
        <v>1.74102420617393</v>
      </c>
      <c r="AH15" s="62" t="n">
        <f aca="false">(1+$B$8)^(AH11-1)</f>
        <v>1.77584469029741</v>
      </c>
      <c r="AI15" s="62" t="n">
        <f aca="false">(1+$B$8)^(AI11-1)</f>
        <v>1.81136158410335</v>
      </c>
      <c r="AJ15" s="62" t="n">
        <f aca="false">(1+$B$8)^(AJ11-1)</f>
        <v>1.84758881578542</v>
      </c>
      <c r="AK15" s="62" t="n">
        <f aca="false">(1+$B$8)^(AK11-1)</f>
        <v>1.88454059210113</v>
      </c>
      <c r="AL15" s="62" t="n">
        <f aca="false">(1+$B$8)^(AL11-1)</f>
        <v>1.92223140394315</v>
      </c>
      <c r="AM15" s="62" t="n">
        <f aca="false">(1+$B$8)^(AM11-1)</f>
        <v>1.96067603202202</v>
      </c>
    </row>
    <row r="16" customFormat="false" ht="15" hidden="false" customHeight="true" outlineLevel="0" collapsed="false">
      <c r="A16" s="8" t="s">
        <v>241</v>
      </c>
      <c r="C16" s="10" t="s">
        <v>9</v>
      </c>
      <c r="E16" s="62" t="n">
        <f aca="false">(1+$B$9)^(E11-1)</f>
        <v>1</v>
      </c>
      <c r="F16" s="62" t="n">
        <f aca="false">(1+$B$9)^(F11-1)</f>
        <v>1.02</v>
      </c>
      <c r="G16" s="62" t="n">
        <f aca="false">(1+$B$9)^(G11-1)</f>
        <v>1.0404</v>
      </c>
      <c r="H16" s="62" t="n">
        <f aca="false">(1+$B$9)^(H11-1)</f>
        <v>1.061208</v>
      </c>
      <c r="I16" s="62" t="n">
        <f aca="false">(1+$B$9)^(I11-1)</f>
        <v>1.08243216</v>
      </c>
      <c r="J16" s="62" t="n">
        <f aca="false">(1+$B$9)^(J11-1)</f>
        <v>1.1040808032</v>
      </c>
      <c r="K16" s="62" t="n">
        <f aca="false">(1+$B$9)^(K11-1)</f>
        <v>1.126162419264</v>
      </c>
      <c r="L16" s="62" t="n">
        <f aca="false">(1+$B$9)^(L11-1)</f>
        <v>1.14868566764928</v>
      </c>
      <c r="M16" s="62" t="n">
        <f aca="false">(1+$B$9)^(M11-1)</f>
        <v>1.17165938100227</v>
      </c>
      <c r="N16" s="62" t="n">
        <f aca="false">(1+$B$9)^(N11-1)</f>
        <v>1.19509256862231</v>
      </c>
      <c r="O16" s="62" t="n">
        <f aca="false">(1+$B$9)^(O11-1)</f>
        <v>1.21899441999476</v>
      </c>
      <c r="P16" s="62" t="n">
        <f aca="false">(1+$B$9)^(P11-1)</f>
        <v>1.24337430839465</v>
      </c>
      <c r="Q16" s="62" t="n">
        <f aca="false">(1+$B$9)^(Q11-1)</f>
        <v>1.26824179456255</v>
      </c>
      <c r="R16" s="62" t="n">
        <f aca="false">(1+$B$9)^(R11-1)</f>
        <v>1.2936066304538</v>
      </c>
      <c r="S16" s="62" t="n">
        <f aca="false">(1+$B$9)^(S11-1)</f>
        <v>1.31947876306287</v>
      </c>
      <c r="T16" s="62" t="n">
        <f aca="false">(1+$B$9)^(T11-1)</f>
        <v>1.34586833832413</v>
      </c>
      <c r="U16" s="62" t="n">
        <f aca="false">(1+$B$9)^(U11-1)</f>
        <v>1.37278570509061</v>
      </c>
      <c r="V16" s="62" t="n">
        <f aca="false">(1+$B$9)^(V11-1)</f>
        <v>1.40024141919242</v>
      </c>
      <c r="W16" s="62" t="n">
        <f aca="false">(1+$B$9)^(W11-1)</f>
        <v>1.42824624757627</v>
      </c>
      <c r="X16" s="62" t="n">
        <f aca="false">(1+$B$9)^(X11-1)</f>
        <v>1.4568111725278</v>
      </c>
      <c r="Y16" s="62" t="n">
        <f aca="false">(1+$B$9)^(Y11-1)</f>
        <v>1.48594739597836</v>
      </c>
      <c r="Z16" s="62" t="n">
        <f aca="false">(1+$B$9)^(Z11-1)</f>
        <v>1.51566634389792</v>
      </c>
      <c r="AA16" s="62" t="n">
        <f aca="false">(1+$B$9)^(AA11-1)</f>
        <v>1.54597967077588</v>
      </c>
      <c r="AB16" s="62" t="n">
        <f aca="false">(1+$B$9)^(AB11-1)</f>
        <v>1.5768992641914</v>
      </c>
      <c r="AC16" s="62" t="n">
        <f aca="false">(1+$B$9)^(AC11-1)</f>
        <v>1.60843724947523</v>
      </c>
      <c r="AD16" s="62" t="n">
        <f aca="false">(1+$B$9)^(AD11-1)</f>
        <v>1.64060599446473</v>
      </c>
      <c r="AE16" s="62" t="n">
        <f aca="false">(1+$B$9)^(AE11-1)</f>
        <v>1.67341811435403</v>
      </c>
      <c r="AF16" s="62" t="n">
        <f aca="false">(1+$B$9)^(AF11-1)</f>
        <v>1.70688647664111</v>
      </c>
      <c r="AG16" s="62" t="n">
        <f aca="false">(1+$B$9)^(AG11-1)</f>
        <v>1.74102420617393</v>
      </c>
      <c r="AH16" s="62" t="n">
        <f aca="false">(1+$B$9)^(AH11-1)</f>
        <v>1.77584469029741</v>
      </c>
      <c r="AI16" s="62" t="n">
        <f aca="false">(1+$B$9)^(AI11-1)</f>
        <v>1.81136158410335</v>
      </c>
      <c r="AJ16" s="62" t="n">
        <f aca="false">(1+$B$9)^(AJ11-1)</f>
        <v>1.84758881578542</v>
      </c>
      <c r="AK16" s="62" t="n">
        <f aca="false">(1+$B$9)^(AK11-1)</f>
        <v>1.88454059210113</v>
      </c>
      <c r="AL16" s="62" t="n">
        <f aca="false">(1+$B$9)^(AL11-1)</f>
        <v>1.92223140394315</v>
      </c>
      <c r="AM16" s="62" t="n">
        <f aca="false">(1+$B$9)^(AM11-1)</f>
        <v>1.96067603202202</v>
      </c>
    </row>
    <row r="17" customFormat="false" ht="15" hidden="false" customHeight="true" outlineLevel="0" collapsed="false">
      <c r="A17" s="8" t="s">
        <v>242</v>
      </c>
      <c r="C17" s="10" t="s">
        <v>9</v>
      </c>
      <c r="E17" s="62" t="n">
        <f aca="false">(1+$B$10)^(E11-1)</f>
        <v>1</v>
      </c>
      <c r="F17" s="62" t="n">
        <f aca="false">(1+$B$10)^(F11-1)</f>
        <v>1.02</v>
      </c>
      <c r="G17" s="62" t="n">
        <f aca="false">(1+$B$10)^(G11-1)</f>
        <v>1.0404</v>
      </c>
      <c r="H17" s="62" t="n">
        <f aca="false">(1+$B$10)^(H11-1)</f>
        <v>1.061208</v>
      </c>
      <c r="I17" s="62" t="n">
        <f aca="false">(1+$B$10)^(I11-1)</f>
        <v>1.08243216</v>
      </c>
      <c r="J17" s="62" t="n">
        <f aca="false">(1+$B$10)^(J11-1)</f>
        <v>1.1040808032</v>
      </c>
      <c r="K17" s="62" t="n">
        <f aca="false">(1+$B$10)^(K11-1)</f>
        <v>1.126162419264</v>
      </c>
      <c r="L17" s="62" t="n">
        <f aca="false">(1+$B$10)^(L11-1)</f>
        <v>1.14868566764928</v>
      </c>
      <c r="M17" s="62" t="n">
        <f aca="false">(1+$B$10)^(M11-1)</f>
        <v>1.17165938100227</v>
      </c>
      <c r="N17" s="62" t="n">
        <f aca="false">(1+$B$10)^(N11-1)</f>
        <v>1.19509256862231</v>
      </c>
      <c r="O17" s="62" t="n">
        <f aca="false">(1+$B$10)^(O11-1)</f>
        <v>1.21899441999476</v>
      </c>
      <c r="P17" s="62" t="n">
        <f aca="false">(1+$B$10)^(P11-1)</f>
        <v>1.24337430839465</v>
      </c>
      <c r="Q17" s="62" t="n">
        <f aca="false">(1+$B$10)^(Q11-1)</f>
        <v>1.26824179456255</v>
      </c>
      <c r="R17" s="62" t="n">
        <f aca="false">(1+$B$10)^(R11-1)</f>
        <v>1.2936066304538</v>
      </c>
      <c r="S17" s="62" t="n">
        <f aca="false">(1+$B$10)^(S11-1)</f>
        <v>1.31947876306287</v>
      </c>
      <c r="T17" s="62" t="n">
        <f aca="false">(1+$B$10)^(T11-1)</f>
        <v>1.34586833832413</v>
      </c>
      <c r="U17" s="62" t="n">
        <f aca="false">(1+$B$10)^(U11-1)</f>
        <v>1.37278570509061</v>
      </c>
      <c r="V17" s="62" t="n">
        <f aca="false">(1+$B$10)^(V11-1)</f>
        <v>1.40024141919242</v>
      </c>
      <c r="W17" s="62" t="n">
        <f aca="false">(1+$B$10)^(W11-1)</f>
        <v>1.42824624757627</v>
      </c>
      <c r="X17" s="62" t="n">
        <f aca="false">(1+$B$10)^(X11-1)</f>
        <v>1.4568111725278</v>
      </c>
      <c r="Y17" s="62" t="n">
        <f aca="false">(1+$B$10)^(Y11-1)</f>
        <v>1.48594739597836</v>
      </c>
      <c r="Z17" s="62" t="n">
        <f aca="false">(1+$B$10)^(Z11-1)</f>
        <v>1.51566634389792</v>
      </c>
      <c r="AA17" s="62" t="n">
        <f aca="false">(1+$B$10)^(AA11-1)</f>
        <v>1.54597967077588</v>
      </c>
      <c r="AB17" s="62" t="n">
        <f aca="false">(1+$B$10)^(AB11-1)</f>
        <v>1.5768992641914</v>
      </c>
      <c r="AC17" s="62" t="n">
        <f aca="false">(1+$B$10)^(AC11-1)</f>
        <v>1.60843724947523</v>
      </c>
      <c r="AD17" s="62" t="n">
        <f aca="false">(1+$B$10)^(AD11-1)</f>
        <v>1.64060599446473</v>
      </c>
      <c r="AE17" s="62" t="n">
        <f aca="false">(1+$B$10)^(AE11-1)</f>
        <v>1.67341811435403</v>
      </c>
      <c r="AF17" s="62" t="n">
        <f aca="false">(1+$B$10)^(AF11-1)</f>
        <v>1.70688647664111</v>
      </c>
      <c r="AG17" s="62" t="n">
        <f aca="false">(1+$B$10)^(AG11-1)</f>
        <v>1.74102420617393</v>
      </c>
      <c r="AH17" s="62" t="n">
        <f aca="false">(1+$B$10)^(AH11-1)</f>
        <v>1.77584469029741</v>
      </c>
      <c r="AI17" s="62" t="n">
        <f aca="false">(1+$B$10)^(AI11-1)</f>
        <v>1.81136158410335</v>
      </c>
      <c r="AJ17" s="62" t="n">
        <f aca="false">(1+$B$10)^(AJ11-1)</f>
        <v>1.84758881578542</v>
      </c>
      <c r="AK17" s="62" t="n">
        <f aca="false">(1+$B$10)^(AK11-1)</f>
        <v>1.88454059210113</v>
      </c>
      <c r="AL17" s="62" t="n">
        <f aca="false">(1+$B$10)^(AL11-1)</f>
        <v>1.92223140394315</v>
      </c>
      <c r="AM17" s="62" t="n">
        <f aca="false">(1+$B$10)^(AM11-1)</f>
        <v>1.96067603202202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2026-05-03T07:29:39Z</dcterms:created>
  <dc:creator>openpyxl</dc:creator>
  <dc:description/>
  <dc:language>en-US</dc:language>
  <cp:lastModifiedBy/>
  <dcterms:modified xsi:type="dcterms:W3CDTF">2026-05-03T11:52:59Z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