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3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4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5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6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7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82D64A42721F930/Courses New/Chapter 2. Financial Theory - Public/B. My Book - Valuation Theory/PPA/"/>
    </mc:Choice>
  </mc:AlternateContent>
  <xr:revisionPtr revIDLastSave="0" documentId="8_{13AC7E2F-F529-41B3-9C63-7ED8DDBA5FC8}" xr6:coauthVersionLast="47" xr6:coauthVersionMax="47" xr10:uidLastSave="{00000000-0000-0000-0000-000000000000}"/>
  <bookViews>
    <workbookView xWindow="-110" yWindow="-110" windowWidth="19420" windowHeight="11500" firstSheet="6" activeTab="8" xr2:uid="{A0A79314-3718-4821-8A90-77C7E02A5576}"/>
  </bookViews>
  <sheets>
    <sheet name="Delay LD" sheetId="3" r:id="rId1"/>
    <sheet name="Availability" sheetId="4" r:id="rId2"/>
    <sheet name="Panel Cleaning" sheetId="8" r:id="rId3"/>
    <sheet name="Sheet1" sheetId="1" r:id="rId4"/>
    <sheet name="Sheet1 (2)" sheetId="2" r:id="rId5"/>
    <sheet name="Heat Rate Bids" sheetId="5" r:id="rId6"/>
    <sheet name="Fixed and Variable" sheetId="6" r:id="rId7"/>
    <sheet name="Incentive Seepominotr" sheetId="9" r:id="rId8"/>
    <sheet name="Cost of Capital Speedominitor" sheetId="7" r:id="rId9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8" i="7" l="1"/>
  <c r="F14" i="9"/>
  <c r="C8" i="9"/>
  <c r="C9" i="9" s="1"/>
  <c r="I6" i="9" s="1"/>
  <c r="I7" i="9" s="1"/>
  <c r="E4" i="9"/>
  <c r="E5" i="9" s="1"/>
  <c r="E6" i="9" s="1"/>
  <c r="E7" i="9" s="1"/>
  <c r="E8" i="9" s="1"/>
  <c r="E9" i="9" s="1"/>
  <c r="E10" i="9" s="1"/>
  <c r="E11" i="9" s="1"/>
  <c r="E12" i="9" s="1"/>
  <c r="E13" i="9" s="1"/>
  <c r="F14" i="7"/>
  <c r="E6" i="7"/>
  <c r="E7" i="7" s="1"/>
  <c r="E8" i="7" s="1"/>
  <c r="E9" i="7" s="1"/>
  <c r="E10" i="7" s="1"/>
  <c r="E11" i="7" s="1"/>
  <c r="E12" i="7" s="1"/>
  <c r="E13" i="7" s="1"/>
  <c r="E5" i="7"/>
  <c r="E4" i="7"/>
  <c r="C8" i="7"/>
  <c r="C9" i="7" s="1"/>
  <c r="I6" i="7" s="1"/>
  <c r="I7" i="7" s="1"/>
  <c r="D18" i="8"/>
  <c r="D17" i="8"/>
  <c r="D29" i="8" s="1"/>
  <c r="D45" i="8" s="1"/>
  <c r="D16" i="8"/>
  <c r="D28" i="8" s="1"/>
  <c r="D44" i="8" s="1"/>
  <c r="D14" i="8"/>
  <c r="D26" i="8" s="1"/>
  <c r="D42" i="8" s="1"/>
  <c r="E14" i="8"/>
  <c r="E15" i="8"/>
  <c r="E18" i="8"/>
  <c r="E9" i="8"/>
  <c r="E10" i="8"/>
  <c r="E11" i="8"/>
  <c r="E12" i="8"/>
  <c r="E13" i="8"/>
  <c r="D46" i="8"/>
  <c r="G36" i="8"/>
  <c r="F36" i="8"/>
  <c r="D30" i="8"/>
  <c r="D27" i="8"/>
  <c r="D43" i="8" s="1"/>
  <c r="D25" i="8"/>
  <c r="D41" i="8" s="1"/>
  <c r="D24" i="8"/>
  <c r="D40" i="8" s="1"/>
  <c r="D23" i="8"/>
  <c r="D39" i="8" s="1"/>
  <c r="D22" i="8"/>
  <c r="D38" i="8" s="1"/>
  <c r="D21" i="8"/>
  <c r="D37" i="8" s="1"/>
  <c r="F18" i="8"/>
  <c r="F17" i="8"/>
  <c r="F16" i="8"/>
  <c r="F15" i="8"/>
  <c r="F14" i="8"/>
  <c r="F13" i="8"/>
  <c r="F12" i="8"/>
  <c r="K11" i="8"/>
  <c r="K12" i="8" s="1"/>
  <c r="K13" i="8" s="1"/>
  <c r="F11" i="8"/>
  <c r="F10" i="8"/>
  <c r="I9" i="8"/>
  <c r="I10" i="8" s="1"/>
  <c r="F9" i="8"/>
  <c r="G9" i="8" s="1"/>
  <c r="G10" i="8" s="1"/>
  <c r="G11" i="8" s="1"/>
  <c r="G12" i="8" s="1"/>
  <c r="G13" i="8" s="1"/>
  <c r="G14" i="8" s="1"/>
  <c r="G15" i="8" s="1"/>
  <c r="M8" i="8"/>
  <c r="N8" i="8" s="1"/>
  <c r="F8" i="8"/>
  <c r="G8" i="8" s="1"/>
  <c r="E16" i="8" l="1"/>
  <c r="G16" i="8" s="1"/>
  <c r="G17" i="8" s="1"/>
  <c r="G18" i="8" s="1"/>
  <c r="E17" i="8"/>
  <c r="L12" i="8"/>
  <c r="G40" i="8" s="1"/>
  <c r="L11" i="8"/>
  <c r="G39" i="8" s="1"/>
  <c r="L9" i="8"/>
  <c r="G37" i="8" s="1"/>
  <c r="K14" i="8"/>
  <c r="K15" i="8" s="1"/>
  <c r="K16" i="8" s="1"/>
  <c r="K17" i="8" s="1"/>
  <c r="K18" i="8" s="1"/>
  <c r="L13" i="8"/>
  <c r="L10" i="8"/>
  <c r="I11" i="8"/>
  <c r="J10" i="8"/>
  <c r="F38" i="8" s="1"/>
  <c r="F37" i="8" s="1"/>
  <c r="L18" i="8" l="1"/>
  <c r="L15" i="8"/>
  <c r="M9" i="8"/>
  <c r="N9" i="8" s="1"/>
  <c r="F21" i="8" s="1"/>
  <c r="G46" i="8"/>
  <c r="G43" i="8"/>
  <c r="G41" i="8"/>
  <c r="I12" i="8"/>
  <c r="L17" i="8"/>
  <c r="G38" i="8"/>
  <c r="L14" i="8"/>
  <c r="L16" i="8"/>
  <c r="J11" i="8"/>
  <c r="F39" i="8" s="1"/>
  <c r="M10" i="8" l="1"/>
  <c r="I13" i="8"/>
  <c r="J12" i="8"/>
  <c r="F40" i="8" s="1"/>
  <c r="G44" i="8"/>
  <c r="G42" i="8"/>
  <c r="N10" i="8"/>
  <c r="M11" i="8"/>
  <c r="G45" i="8"/>
  <c r="M12" i="8" l="1"/>
  <c r="N11" i="8"/>
  <c r="I14" i="8"/>
  <c r="J14" i="8"/>
  <c r="F42" i="8" s="1"/>
  <c r="F22" i="8"/>
  <c r="O10" i="8"/>
  <c r="J13" i="8"/>
  <c r="F41" i="8" s="1"/>
  <c r="I15" i="8" l="1"/>
  <c r="F23" i="8"/>
  <c r="O11" i="8"/>
  <c r="M13" i="8"/>
  <c r="N12" i="8"/>
  <c r="O12" i="8" l="1"/>
  <c r="F24" i="8"/>
  <c r="M14" i="8"/>
  <c r="N13" i="8"/>
  <c r="I16" i="8"/>
  <c r="J15" i="8"/>
  <c r="F43" i="8" s="1"/>
  <c r="I17" i="8" l="1"/>
  <c r="J17" i="8" s="1"/>
  <c r="F45" i="8" s="1"/>
  <c r="J16" i="8"/>
  <c r="F44" i="8" s="1"/>
  <c r="O13" i="8"/>
  <c r="F25" i="8"/>
  <c r="M15" i="8"/>
  <c r="N14" i="8"/>
  <c r="M16" i="8" l="1"/>
  <c r="N15" i="8"/>
  <c r="F26" i="8"/>
  <c r="O14" i="8"/>
  <c r="I18" i="8"/>
  <c r="J18" i="8" l="1"/>
  <c r="F46" i="8" s="1"/>
  <c r="F27" i="8"/>
  <c r="O15" i="8"/>
  <c r="M17" i="8"/>
  <c r="N16" i="8"/>
  <c r="O16" i="8" l="1"/>
  <c r="F28" i="8"/>
  <c r="M18" i="8"/>
  <c r="N18" i="8" s="1"/>
  <c r="N17" i="8"/>
  <c r="F29" i="8" l="1"/>
  <c r="O17" i="8"/>
  <c r="F30" i="8"/>
  <c r="O18" i="8"/>
  <c r="H31" i="6" l="1"/>
  <c r="H34" i="6" s="1"/>
  <c r="G31" i="6"/>
  <c r="G34" i="6" s="1"/>
  <c r="F31" i="6"/>
  <c r="F34" i="6" s="1"/>
  <c r="H30" i="6"/>
  <c r="H33" i="6" s="1"/>
  <c r="G30" i="6"/>
  <c r="G33" i="6" s="1"/>
  <c r="G36" i="6" s="1"/>
  <c r="F30" i="6"/>
  <c r="F33" i="6" s="1"/>
  <c r="H13" i="6"/>
  <c r="H16" i="6" s="1"/>
  <c r="H14" i="6"/>
  <c r="H17" i="6" s="1"/>
  <c r="G14" i="6"/>
  <c r="G17" i="6" s="1"/>
  <c r="G13" i="6"/>
  <c r="G16" i="6" s="1"/>
  <c r="F14" i="6"/>
  <c r="F17" i="6" s="1"/>
  <c r="H36" i="6" l="1"/>
  <c r="F36" i="6"/>
  <c r="F13" i="6"/>
  <c r="F16" i="6" s="1"/>
  <c r="G19" i="5"/>
  <c r="I19" i="5"/>
  <c r="J19" i="5"/>
  <c r="F19" i="5"/>
  <c r="G18" i="5"/>
  <c r="I18" i="5"/>
  <c r="J18" i="5"/>
  <c r="F18" i="5"/>
  <c r="I15" i="5"/>
  <c r="I20" i="5" s="1"/>
  <c r="F15" i="5"/>
  <c r="F16" i="5" s="1"/>
  <c r="F17" i="5" s="1"/>
  <c r="F23" i="5" s="1"/>
  <c r="J15" i="5"/>
  <c r="J16" i="5" s="1"/>
  <c r="J17" i="5" s="1"/>
  <c r="G15" i="5"/>
  <c r="G16" i="5" s="1"/>
  <c r="G17" i="5" s="1"/>
  <c r="G23" i="5" s="1"/>
  <c r="F36" i="4"/>
  <c r="E36" i="4"/>
  <c r="F20" i="5" l="1"/>
  <c r="I16" i="5"/>
  <c r="I17" i="5" s="1"/>
  <c r="I23" i="5" s="1"/>
  <c r="J20" i="5"/>
  <c r="J21" i="5" s="1"/>
  <c r="J22" i="5" s="1"/>
  <c r="G20" i="5"/>
  <c r="G21" i="5" s="1"/>
  <c r="G22" i="5" s="1"/>
  <c r="F21" i="5"/>
  <c r="F22" i="5" s="1"/>
  <c r="J23" i="5"/>
  <c r="D22" i="4"/>
  <c r="D38" i="4" s="1"/>
  <c r="D23" i="4"/>
  <c r="D39" i="4" s="1"/>
  <c r="D24" i="4"/>
  <c r="D40" i="4" s="1"/>
  <c r="D25" i="4"/>
  <c r="D41" i="4" s="1"/>
  <c r="D26" i="4"/>
  <c r="D42" i="4" s="1"/>
  <c r="D27" i="4"/>
  <c r="D43" i="4" s="1"/>
  <c r="D28" i="4"/>
  <c r="D44" i="4" s="1"/>
  <c r="D29" i="4"/>
  <c r="D45" i="4" s="1"/>
  <c r="D30" i="4"/>
  <c r="D46" i="4" s="1"/>
  <c r="D21" i="4"/>
  <c r="D37" i="4" s="1"/>
  <c r="J11" i="4"/>
  <c r="J12" i="4" s="1"/>
  <c r="J13" i="4" s="1"/>
  <c r="J14" i="4" s="1"/>
  <c r="J15" i="4" s="1"/>
  <c r="J16" i="4" s="1"/>
  <c r="J17" i="4" s="1"/>
  <c r="J18" i="4" s="1"/>
  <c r="H9" i="4"/>
  <c r="L8" i="4"/>
  <c r="E9" i="4"/>
  <c r="F9" i="4" s="1"/>
  <c r="E10" i="4"/>
  <c r="F10" i="4" s="1"/>
  <c r="E11" i="4"/>
  <c r="F11" i="4" s="1"/>
  <c r="E12" i="4"/>
  <c r="F12" i="4" s="1"/>
  <c r="E13" i="4"/>
  <c r="F13" i="4" s="1"/>
  <c r="E14" i="4"/>
  <c r="F14" i="4" s="1"/>
  <c r="E15" i="4"/>
  <c r="F15" i="4" s="1"/>
  <c r="E16" i="4"/>
  <c r="F16" i="4" s="1"/>
  <c r="E17" i="4"/>
  <c r="F17" i="4" s="1"/>
  <c r="E18" i="4"/>
  <c r="F18" i="4" s="1"/>
  <c r="E8" i="4"/>
  <c r="F8" i="4" s="1"/>
  <c r="C9" i="3"/>
  <c r="C10" i="3" s="1"/>
  <c r="C11" i="3" s="1"/>
  <c r="C12" i="3" s="1"/>
  <c r="C13" i="3" s="1"/>
  <c r="C14" i="3" s="1"/>
  <c r="C15" i="3" s="1"/>
  <c r="C16" i="3" s="1"/>
  <c r="C17" i="3" s="1"/>
  <c r="C18" i="3" s="1"/>
  <c r="G24" i="5" l="1"/>
  <c r="I21" i="5"/>
  <c r="I22" i="5" s="1"/>
  <c r="J24" i="5" s="1"/>
  <c r="H10" i="4"/>
  <c r="H11" i="4" s="1"/>
  <c r="H12" i="4" s="1"/>
  <c r="H13" i="4" s="1"/>
  <c r="K10" i="4"/>
  <c r="F38" i="4" s="1"/>
  <c r="K9" i="4"/>
  <c r="K11" i="4"/>
  <c r="F39" i="4" s="1"/>
  <c r="K12" i="4"/>
  <c r="F40" i="4" s="1"/>
  <c r="K13" i="4"/>
  <c r="F41" i="4" s="1"/>
  <c r="M8" i="4"/>
  <c r="I11" i="4" l="1"/>
  <c r="E39" i="4" s="1"/>
  <c r="I12" i="4"/>
  <c r="E40" i="4" s="1"/>
  <c r="I10" i="4"/>
  <c r="E38" i="4" s="1"/>
  <c r="E37" i="4" s="1"/>
  <c r="L9" i="4"/>
  <c r="M9" i="4" s="1"/>
  <c r="E21" i="4" s="1"/>
  <c r="F37" i="4"/>
  <c r="H14" i="4"/>
  <c r="I13" i="4"/>
  <c r="E41" i="4" s="1"/>
  <c r="K14" i="4"/>
  <c r="F42" i="4" s="1"/>
  <c r="L10" i="4" l="1"/>
  <c r="M10" i="4" s="1"/>
  <c r="E22" i="4" s="1"/>
  <c r="H15" i="4"/>
  <c r="I15" i="4"/>
  <c r="E43" i="4" s="1"/>
  <c r="I14" i="4"/>
  <c r="E42" i="4" s="1"/>
  <c r="K15" i="4"/>
  <c r="F43" i="4" s="1"/>
  <c r="L11" i="4"/>
  <c r="M11" i="4" s="1"/>
  <c r="E23" i="4" s="1"/>
  <c r="H16" i="4" l="1"/>
  <c r="I16" i="4"/>
  <c r="E44" i="4" s="1"/>
  <c r="K16" i="4"/>
  <c r="F44" i="4" s="1"/>
  <c r="L12" i="4"/>
  <c r="M12" i="4" s="1"/>
  <c r="E24" i="4" s="1"/>
  <c r="H17" i="4" l="1"/>
  <c r="I17" i="4" s="1"/>
  <c r="E45" i="4" s="1"/>
  <c r="K18" i="4"/>
  <c r="F46" i="4" s="1"/>
  <c r="K17" i="4"/>
  <c r="F45" i="4" s="1"/>
  <c r="L13" i="4"/>
  <c r="M13" i="4" s="1"/>
  <c r="E25" i="4" s="1"/>
  <c r="H18" i="4" l="1"/>
  <c r="I18" i="4"/>
  <c r="E46" i="4" s="1"/>
  <c r="L14" i="4"/>
  <c r="M14" i="4" s="1"/>
  <c r="E26" i="4" s="1"/>
  <c r="L15" i="4" l="1"/>
  <c r="M15" i="4" s="1"/>
  <c r="E27" i="4" s="1"/>
  <c r="N15" i="4" l="1"/>
  <c r="L16" i="4"/>
  <c r="M16" i="4" s="1"/>
  <c r="E28" i="4" s="1"/>
  <c r="N14" i="4"/>
  <c r="N13" i="4"/>
  <c r="I8" i="3"/>
  <c r="J8" i="3" s="1"/>
  <c r="E10" i="3"/>
  <c r="H10" i="3" s="1"/>
  <c r="C7" i="2"/>
  <c r="C8" i="2" s="1"/>
  <c r="C9" i="2" s="1"/>
  <c r="C10" i="2" s="1"/>
  <c r="C11" i="2" s="1"/>
  <c r="C12" i="2" s="1"/>
  <c r="C13" i="2" s="1"/>
  <c r="C14" i="2" s="1"/>
  <c r="C15" i="2" s="1"/>
  <c r="C16" i="2" s="1"/>
  <c r="I6" i="2"/>
  <c r="J6" i="2" s="1"/>
  <c r="E6" i="2"/>
  <c r="E7" i="2" s="1"/>
  <c r="E8" i="2" s="1"/>
  <c r="H8" i="2" s="1"/>
  <c r="I6" i="1"/>
  <c r="I7" i="1" s="1"/>
  <c r="H20" i="1" s="1"/>
  <c r="E6" i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F16" i="1" s="1"/>
  <c r="F15" i="1" s="1"/>
  <c r="C7" i="1"/>
  <c r="C8" i="1" s="1"/>
  <c r="C9" i="1" s="1"/>
  <c r="C10" i="1" s="1"/>
  <c r="C11" i="1" s="1"/>
  <c r="C12" i="1" s="1"/>
  <c r="C13" i="1" s="1"/>
  <c r="C14" i="1" s="1"/>
  <c r="C15" i="1" s="1"/>
  <c r="C16" i="1" s="1"/>
  <c r="H8" i="1" l="1"/>
  <c r="H9" i="1" s="1"/>
  <c r="H10" i="1" s="1"/>
  <c r="H11" i="1" s="1"/>
  <c r="H12" i="1" s="1"/>
  <c r="H13" i="1" s="1"/>
  <c r="H14" i="1" s="1"/>
  <c r="H15" i="1" s="1"/>
  <c r="H16" i="1" s="1"/>
  <c r="I7" i="2"/>
  <c r="H20" i="2" s="1"/>
  <c r="N16" i="4"/>
  <c r="L17" i="4"/>
  <c r="M17" i="4" s="1"/>
  <c r="E29" i="4" s="1"/>
  <c r="E11" i="3"/>
  <c r="E12" i="3" s="1"/>
  <c r="E13" i="3" s="1"/>
  <c r="E14" i="3" s="1"/>
  <c r="E15" i="3" s="1"/>
  <c r="E16" i="3" s="1"/>
  <c r="E17" i="3" s="1"/>
  <c r="E18" i="3" s="1"/>
  <c r="F18" i="3" s="1"/>
  <c r="I9" i="3"/>
  <c r="E9" i="2"/>
  <c r="E10" i="2" s="1"/>
  <c r="E11" i="2" s="1"/>
  <c r="E12" i="2" s="1"/>
  <c r="E13" i="2" s="1"/>
  <c r="E14" i="2" s="1"/>
  <c r="E15" i="2" s="1"/>
  <c r="E16" i="2" s="1"/>
  <c r="F16" i="2" s="1"/>
  <c r="F15" i="2" s="1"/>
  <c r="F14" i="2" s="1"/>
  <c r="F13" i="2" s="1"/>
  <c r="F12" i="2" s="1"/>
  <c r="F11" i="2" s="1"/>
  <c r="F10" i="2" s="1"/>
  <c r="F9" i="2" s="1"/>
  <c r="F8" i="2" s="1"/>
  <c r="F7" i="2" s="1"/>
  <c r="F28" i="1"/>
  <c r="F14" i="1"/>
  <c r="F13" i="1" s="1"/>
  <c r="F12" i="1" s="1"/>
  <c r="F11" i="1" s="1"/>
  <c r="F10" i="1" s="1"/>
  <c r="F9" i="1" s="1"/>
  <c r="F8" i="1" s="1"/>
  <c r="F7" i="1" s="1"/>
  <c r="G15" i="1"/>
  <c r="J6" i="1"/>
  <c r="H9" i="2" l="1"/>
  <c r="H10" i="2" s="1"/>
  <c r="H11" i="2" s="1"/>
  <c r="H12" i="2" s="1"/>
  <c r="H13" i="2" s="1"/>
  <c r="H14" i="2" s="1"/>
  <c r="H15" i="2" s="1"/>
  <c r="H16" i="2" s="1"/>
  <c r="N17" i="4"/>
  <c r="F17" i="3"/>
  <c r="F27" i="3" s="1"/>
  <c r="L18" i="4"/>
  <c r="M18" i="4" s="1"/>
  <c r="E30" i="4" s="1"/>
  <c r="N12" i="4"/>
  <c r="H11" i="3"/>
  <c r="H12" i="3" s="1"/>
  <c r="H13" i="3" s="1"/>
  <c r="H14" i="3" s="1"/>
  <c r="I10" i="3"/>
  <c r="I8" i="2"/>
  <c r="H21" i="2" s="1"/>
  <c r="F28" i="2"/>
  <c r="G15" i="2"/>
  <c r="F27" i="1"/>
  <c r="I8" i="1"/>
  <c r="H21" i="1" s="1"/>
  <c r="N18" i="4" l="1"/>
  <c r="G17" i="3"/>
  <c r="H15" i="3"/>
  <c r="H23" i="3"/>
  <c r="F16" i="3"/>
  <c r="N10" i="4"/>
  <c r="N11" i="4"/>
  <c r="I11" i="3"/>
  <c r="G14" i="2"/>
  <c r="F27" i="2"/>
  <c r="I9" i="2"/>
  <c r="H22" i="2" s="1"/>
  <c r="F26" i="1"/>
  <c r="G14" i="1"/>
  <c r="G13" i="1" s="1"/>
  <c r="I9" i="1"/>
  <c r="H22" i="1" s="1"/>
  <c r="G16" i="3" l="1"/>
  <c r="F15" i="3"/>
  <c r="F25" i="3" s="1"/>
  <c r="H16" i="3"/>
  <c r="H24" i="3"/>
  <c r="F26" i="3"/>
  <c r="I12" i="3"/>
  <c r="I10" i="2"/>
  <c r="H23" i="2" s="1"/>
  <c r="F26" i="2"/>
  <c r="G13" i="2"/>
  <c r="G12" i="1"/>
  <c r="F25" i="1"/>
  <c r="I10" i="1"/>
  <c r="H23" i="1" s="1"/>
  <c r="G15" i="3" l="1"/>
  <c r="H17" i="3"/>
  <c r="H25" i="3"/>
  <c r="F14" i="3"/>
  <c r="F24" i="3" s="1"/>
  <c r="I13" i="3"/>
  <c r="G12" i="2"/>
  <c r="F25" i="2"/>
  <c r="I11" i="2"/>
  <c r="H24" i="2" s="1"/>
  <c r="F24" i="1"/>
  <c r="G11" i="1"/>
  <c r="I11" i="1"/>
  <c r="H24" i="1" s="1"/>
  <c r="G14" i="3" l="1"/>
  <c r="F13" i="3"/>
  <c r="F12" i="3" s="1"/>
  <c r="F11" i="3" s="1"/>
  <c r="F10" i="3" s="1"/>
  <c r="F9" i="3" s="1"/>
  <c r="H18" i="3"/>
  <c r="H27" i="3" s="1"/>
  <c r="H26" i="3"/>
  <c r="I14" i="3"/>
  <c r="I12" i="2"/>
  <c r="H25" i="2" s="1"/>
  <c r="F24" i="2"/>
  <c r="G11" i="2"/>
  <c r="G10" i="1"/>
  <c r="F23" i="1"/>
  <c r="I12" i="1"/>
  <c r="H25" i="1" s="1"/>
  <c r="G13" i="3" l="1"/>
  <c r="J13" i="3" s="1"/>
  <c r="F23" i="3"/>
  <c r="I15" i="3"/>
  <c r="J14" i="3"/>
  <c r="J12" i="2"/>
  <c r="G10" i="2"/>
  <c r="J11" i="2"/>
  <c r="F23" i="2"/>
  <c r="I13" i="2"/>
  <c r="F22" i="1"/>
  <c r="G9" i="1"/>
  <c r="G8" i="1" s="1"/>
  <c r="I13" i="1"/>
  <c r="H26" i="1" s="1"/>
  <c r="G12" i="3" l="1"/>
  <c r="J12" i="3" s="1"/>
  <c r="K14" i="3"/>
  <c r="I16" i="3"/>
  <c r="J15" i="3"/>
  <c r="K15" i="3" s="1"/>
  <c r="K23" i="3" s="1"/>
  <c r="K12" i="2"/>
  <c r="I14" i="2"/>
  <c r="H26" i="2"/>
  <c r="J13" i="2"/>
  <c r="K13" i="2" s="1"/>
  <c r="F22" i="2"/>
  <c r="J10" i="2"/>
  <c r="G9" i="2"/>
  <c r="F20" i="1"/>
  <c r="G20" i="1" s="1"/>
  <c r="F21" i="1"/>
  <c r="I14" i="1"/>
  <c r="H27" i="1" s="1"/>
  <c r="G11" i="3" l="1"/>
  <c r="K13" i="3"/>
  <c r="K22" i="3" s="1"/>
  <c r="J16" i="3"/>
  <c r="K16" i="3" s="1"/>
  <c r="K24" i="3" s="1"/>
  <c r="I17" i="3"/>
  <c r="G10" i="3"/>
  <c r="J11" i="3"/>
  <c r="K12" i="3" s="1"/>
  <c r="K11" i="2"/>
  <c r="F20" i="2"/>
  <c r="G20" i="2" s="1"/>
  <c r="F21" i="2"/>
  <c r="I15" i="2"/>
  <c r="I16" i="2"/>
  <c r="J16" i="2" s="1"/>
  <c r="J9" i="2"/>
  <c r="G8" i="2"/>
  <c r="H27" i="2"/>
  <c r="J14" i="2"/>
  <c r="K14" i="2" s="1"/>
  <c r="G21" i="1"/>
  <c r="I20" i="1"/>
  <c r="I15" i="1"/>
  <c r="H28" i="1" s="1"/>
  <c r="G7" i="1"/>
  <c r="G6" i="1" s="1"/>
  <c r="J7" i="1" l="1"/>
  <c r="J17" i="3"/>
  <c r="K17" i="3" s="1"/>
  <c r="K25" i="3" s="1"/>
  <c r="I18" i="3"/>
  <c r="J18" i="3" s="1"/>
  <c r="G9" i="3"/>
  <c r="J10" i="3"/>
  <c r="J8" i="2"/>
  <c r="K9" i="2" s="1"/>
  <c r="G7" i="2"/>
  <c r="H28" i="2"/>
  <c r="J15" i="2"/>
  <c r="K15" i="2" s="1"/>
  <c r="I20" i="2"/>
  <c r="G21" i="2"/>
  <c r="K10" i="2"/>
  <c r="G22" i="1"/>
  <c r="I21" i="1"/>
  <c r="I16" i="1"/>
  <c r="J8" i="1"/>
  <c r="K8" i="1" l="1"/>
  <c r="K18" i="3"/>
  <c r="K26" i="3" s="1"/>
  <c r="J9" i="3"/>
  <c r="K10" i="3" s="1"/>
  <c r="G8" i="3"/>
  <c r="K11" i="3"/>
  <c r="G22" i="2"/>
  <c r="I21" i="2"/>
  <c r="K16" i="2"/>
  <c r="J7" i="2"/>
  <c r="K8" i="2" s="1"/>
  <c r="G6" i="2"/>
  <c r="G23" i="1"/>
  <c r="I22" i="1"/>
  <c r="J9" i="1"/>
  <c r="K9" i="1" s="1"/>
  <c r="I22" i="2" l="1"/>
  <c r="G23" i="2"/>
  <c r="G24" i="1"/>
  <c r="I23" i="1"/>
  <c r="J10" i="1"/>
  <c r="K10" i="1" s="1"/>
  <c r="I23" i="2" l="1"/>
  <c r="G24" i="2"/>
  <c r="G25" i="1"/>
  <c r="I24" i="1"/>
  <c r="J11" i="1"/>
  <c r="K11" i="1" s="1"/>
  <c r="I24" i="2" l="1"/>
  <c r="G25" i="2"/>
  <c r="G26" i="1"/>
  <c r="I25" i="1"/>
  <c r="J12" i="1"/>
  <c r="K12" i="1" s="1"/>
  <c r="G26" i="2" l="1"/>
  <c r="I25" i="2"/>
  <c r="G27" i="1"/>
  <c r="I26" i="1"/>
  <c r="J13" i="1"/>
  <c r="K13" i="1" s="1"/>
  <c r="I26" i="2" l="1"/>
  <c r="G27" i="2"/>
  <c r="G28" i="1"/>
  <c r="I28" i="1" s="1"/>
  <c r="I27" i="1"/>
  <c r="J14" i="1"/>
  <c r="K14" i="1" s="1"/>
  <c r="I27" i="2" l="1"/>
  <c r="G28" i="2"/>
  <c r="I28" i="2" s="1"/>
  <c r="J16" i="1"/>
  <c r="J15" i="1"/>
  <c r="K15" i="1" s="1"/>
  <c r="K16" i="1" l="1"/>
</calcChain>
</file>

<file path=xl/sharedStrings.xml><?xml version="1.0" encoding="utf-8"?>
<sst xmlns="http://schemas.openxmlformats.org/spreadsheetml/2006/main" count="191" uniqueCount="99">
  <si>
    <t>Date</t>
  </si>
  <si>
    <t>Possible</t>
  </si>
  <si>
    <t>Investor</t>
  </si>
  <si>
    <t>Off-taker</t>
  </si>
  <si>
    <t>Cost</t>
  </si>
  <si>
    <t>Cost/Mo</t>
  </si>
  <si>
    <t>Total Cost</t>
  </si>
  <si>
    <t>Construction</t>
  </si>
  <si>
    <t>Change</t>
  </si>
  <si>
    <t>Constr</t>
  </si>
  <si>
    <t>Cost Chang</t>
  </si>
  <si>
    <t>Total</t>
  </si>
  <si>
    <t>Multiplier</t>
  </si>
  <si>
    <t>Total EPC Cost</t>
  </si>
  <si>
    <t>Change in Construction Cost (Decrease)</t>
  </si>
  <si>
    <t>Accumulated Off-taker Cost</t>
  </si>
  <si>
    <t>Chnge in Off-taker Cost (Increase)</t>
  </si>
  <si>
    <t>Total Cost - Off-taker + Investor</t>
  </si>
  <si>
    <t>Cost Change</t>
  </si>
  <si>
    <t>Power (qtr)</t>
  </si>
  <si>
    <t>Quarter</t>
  </si>
  <si>
    <t>Availability Percent</t>
  </si>
  <si>
    <t>Change in Cost</t>
  </si>
  <si>
    <t>Capacity (MW)</t>
  </si>
  <si>
    <t>Energy (MWH)</t>
  </si>
  <si>
    <t>Cost per MWH to Off-taker</t>
  </si>
  <si>
    <t>Investor + Off-taker Cost</t>
  </si>
  <si>
    <t>&lt;----------  Off-taker  ----------&gt;</t>
  </si>
  <si>
    <t>&lt;---------  Total Cost  --------&gt;</t>
  </si>
  <si>
    <t xml:space="preserve"> </t>
  </si>
  <si>
    <t>&lt;----------  Investor  ---------&gt;</t>
  </si>
  <si>
    <t>Change in Investor Cost</t>
  </si>
  <si>
    <t>&lt;--------- Investor  ----------&gt;</t>
  </si>
  <si>
    <t>Accumulated Investor Cost</t>
  </si>
  <si>
    <t>&lt;-----------------  Off-taker --------------------&gt;</t>
  </si>
  <si>
    <t>Total Cost - Offtaker + Investor</t>
  </si>
  <si>
    <t>Change in Total Cost</t>
  </si>
  <si>
    <t>&lt;------------- Total ------------&gt;</t>
  </si>
  <si>
    <t>Change in Off-Taker Cost</t>
  </si>
  <si>
    <t>Include in Bid</t>
  </si>
  <si>
    <t>Assesment by Off-taker - Case 1</t>
  </si>
  <si>
    <t xml:space="preserve">Capacity </t>
  </si>
  <si>
    <t>MW</t>
  </si>
  <si>
    <t>Euro/kW-yr</t>
  </si>
  <si>
    <t>Euro/MWH</t>
  </si>
  <si>
    <t>MMBTU/MWH</t>
  </si>
  <si>
    <t>Capacity Price</t>
  </si>
  <si>
    <t>Fixed O&amp;M Price</t>
  </si>
  <si>
    <t>Variable O&amp;M Price</t>
  </si>
  <si>
    <t>Target Heat Rate</t>
  </si>
  <si>
    <t>Capacity Factor</t>
  </si>
  <si>
    <t>%</t>
  </si>
  <si>
    <t>Euro/MMBTU</t>
  </si>
  <si>
    <t>Gas Price</t>
  </si>
  <si>
    <t>LCOE Calcuation</t>
  </si>
  <si>
    <t>Generation</t>
  </si>
  <si>
    <t>MWH</t>
  </si>
  <si>
    <t>MMBTU</t>
  </si>
  <si>
    <t>Fuel Cost</t>
  </si>
  <si>
    <t>Euro</t>
  </si>
  <si>
    <t>Capacity Payment</t>
  </si>
  <si>
    <t>Fixed O&amp;M</t>
  </si>
  <si>
    <t>Variable O&amp;M</t>
  </si>
  <si>
    <t>Total Payment</t>
  </si>
  <si>
    <t>Cost per MWH</t>
  </si>
  <si>
    <t>Fuel Cost per MWH</t>
  </si>
  <si>
    <t>Bid 1 - Better Heat Rate and Higher Capacity Payment</t>
  </si>
  <si>
    <t>Bid 2 - Worse Heat Rate and Lower Capacity Payment</t>
  </si>
  <si>
    <t>High Fuel Price and High Capacity Factor</t>
  </si>
  <si>
    <t>Low Fuel Price and Low Capacity Factor</t>
  </si>
  <si>
    <t>Fixed O&amp;M Bid</t>
  </si>
  <si>
    <t>Fixed O&amp;M Incurred</t>
  </si>
  <si>
    <t>Variable O&amp;M Bid</t>
  </si>
  <si>
    <t>Variable O&amp;M Incurred</t>
  </si>
  <si>
    <t>Variable O&amp;M Recovered</t>
  </si>
  <si>
    <t>Variable O&amp;M Experienced</t>
  </si>
  <si>
    <t>Total Recovery</t>
  </si>
  <si>
    <t>Base</t>
  </si>
  <si>
    <t>Higher Generation</t>
  </si>
  <si>
    <t>Lower Generation</t>
  </si>
  <si>
    <t>Bid Actual Cost</t>
  </si>
  <si>
    <t>Bid More Fixed</t>
  </si>
  <si>
    <t>Cash Flow Effect</t>
  </si>
  <si>
    <t>Cleaning per Day</t>
  </si>
  <si>
    <t>Days</t>
  </si>
  <si>
    <t xml:space="preserve">Energy </t>
  </si>
  <si>
    <t>Red</t>
  </si>
  <si>
    <t>Orange</t>
  </si>
  <si>
    <t>Yellow</t>
  </si>
  <si>
    <t>Green</t>
  </si>
  <si>
    <t>Omitted</t>
  </si>
  <si>
    <t>Chart Label</t>
  </si>
  <si>
    <t>DonughtLabel</t>
  </si>
  <si>
    <t>Balance</t>
  </si>
  <si>
    <t>Needle</t>
  </si>
  <si>
    <t>Actual</t>
  </si>
  <si>
    <t>bands value</t>
  </si>
  <si>
    <t>Item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</si>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</sst>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3" formatCode="_(* #,##0.00_);_(* \(#,##0.00\);_(* &quot;-&quot;??_);_(@_)"/>
    <numFmt numFmtId="164" formatCode="_-* #,##0.00_-;[Red]_(* \(#,##0.00\);_-* &quot;-&quot;??_-;_-@_-"/>
    <numFmt numFmtId="165" formatCode="_(* #,##0_);[Red]_(* \(#,##0\);_(* &quot;-&quot;??_);_(@_)"/>
    <numFmt numFmtId="166" formatCode="&quot;[&quot;@&quot;]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FF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family val="2"/>
      <scheme val="minor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E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336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15" fontId="0" fillId="0" borderId="0" xfId="0" applyNumberFormat="1"/>
    <xf numFmtId="164" fontId="0" fillId="0" borderId="0" xfId="0" applyNumberFormat="1"/>
    <xf numFmtId="43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 wrapText="1"/>
    </xf>
    <xf numFmtId="15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43" fontId="0" fillId="0" borderId="1" xfId="0" applyNumberFormat="1" applyBorder="1"/>
    <xf numFmtId="9" fontId="0" fillId="0" borderId="0" xfId="0" applyNumberFormat="1"/>
    <xf numFmtId="0" fontId="0" fillId="0" borderId="0" xfId="0" applyAlignment="1">
      <alignment horizontal="center"/>
    </xf>
    <xf numFmtId="15" fontId="2" fillId="2" borderId="1" xfId="0" applyNumberFormat="1" applyFont="1" applyFill="1" applyBorder="1"/>
    <xf numFmtId="0" fontId="2" fillId="2" borderId="1" xfId="0" applyFont="1" applyFill="1" applyBorder="1"/>
    <xf numFmtId="164" fontId="2" fillId="2" borderId="1" xfId="0" applyNumberFormat="1" applyFont="1" applyFill="1" applyBorder="1"/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/>
    <xf numFmtId="0" fontId="0" fillId="0" borderId="5" xfId="0" applyBorder="1"/>
    <xf numFmtId="0" fontId="2" fillId="2" borderId="4" xfId="0" applyFont="1" applyFill="1" applyBorder="1"/>
    <xf numFmtId="0" fontId="1" fillId="0" borderId="2" xfId="0" applyFont="1" applyBorder="1"/>
    <xf numFmtId="0" fontId="1" fillId="0" borderId="3" xfId="0" applyFont="1" applyBorder="1"/>
    <xf numFmtId="165" fontId="0" fillId="0" borderId="4" xfId="0" applyNumberFormat="1" applyBorder="1"/>
    <xf numFmtId="164" fontId="0" fillId="0" borderId="5" xfId="0" applyNumberFormat="1" applyBorder="1"/>
    <xf numFmtId="165" fontId="0" fillId="0" borderId="5" xfId="0" applyNumberFormat="1" applyBorder="1"/>
    <xf numFmtId="165" fontId="0" fillId="0" borderId="6" xfId="0" applyNumberFormat="1" applyBorder="1"/>
    <xf numFmtId="165" fontId="0" fillId="0" borderId="7" xfId="0" applyNumberFormat="1" applyBorder="1"/>
    <xf numFmtId="8" fontId="0" fillId="0" borderId="0" xfId="0" applyNumberFormat="1"/>
    <xf numFmtId="8" fontId="0" fillId="0" borderId="4" xfId="0" applyNumberFormat="1" applyBorder="1"/>
    <xf numFmtId="8" fontId="0" fillId="0" borderId="6" xfId="0" applyNumberFormat="1" applyBorder="1"/>
    <xf numFmtId="165" fontId="0" fillId="0" borderId="9" xfId="0" applyNumberFormat="1" applyBorder="1"/>
    <xf numFmtId="43" fontId="0" fillId="0" borderId="4" xfId="0" applyNumberFormat="1" applyBorder="1"/>
    <xf numFmtId="0" fontId="1" fillId="0" borderId="8" xfId="0" applyFont="1" applyBorder="1"/>
    <xf numFmtId="166" fontId="0" fillId="0" borderId="0" xfId="0" applyNumberFormat="1" applyAlignment="1">
      <alignment horizontal="center"/>
    </xf>
    <xf numFmtId="10" fontId="0" fillId="0" borderId="0" xfId="0" applyNumberFormat="1"/>
    <xf numFmtId="0" fontId="0" fillId="0" borderId="8" xfId="0" applyBorder="1"/>
    <xf numFmtId="166" fontId="0" fillId="0" borderId="8" xfId="0" applyNumberFormat="1" applyBorder="1" applyAlignment="1">
      <alignment horizontal="center"/>
    </xf>
    <xf numFmtId="165" fontId="0" fillId="0" borderId="8" xfId="0" applyNumberFormat="1" applyBorder="1"/>
    <xf numFmtId="0" fontId="0" fillId="0" borderId="10" xfId="0" applyBorder="1"/>
    <xf numFmtId="166" fontId="0" fillId="0" borderId="10" xfId="0" applyNumberFormat="1" applyBorder="1" applyAlignment="1">
      <alignment horizontal="center"/>
    </xf>
    <xf numFmtId="165" fontId="0" fillId="0" borderId="10" xfId="0" applyNumberFormat="1" applyBorder="1"/>
    <xf numFmtId="164" fontId="0" fillId="0" borderId="4" xfId="0" applyNumberFormat="1" applyBorder="1"/>
    <xf numFmtId="9" fontId="0" fillId="0" borderId="4" xfId="0" applyNumberFormat="1" applyBorder="1"/>
    <xf numFmtId="9" fontId="0" fillId="0" borderId="5" xfId="0" applyNumberFormat="1" applyBorder="1"/>
    <xf numFmtId="165" fontId="0" fillId="0" borderId="2" xfId="0" applyNumberFormat="1" applyBorder="1"/>
    <xf numFmtId="165" fontId="0" fillId="0" borderId="3" xfId="0" applyNumberFormat="1" applyBorder="1"/>
    <xf numFmtId="165" fontId="0" fillId="0" borderId="11" xfId="0" applyNumberFormat="1" applyBorder="1"/>
    <xf numFmtId="165" fontId="0" fillId="0" borderId="12" xfId="0" applyNumberFormat="1" applyBorder="1"/>
    <xf numFmtId="164" fontId="3" fillId="3" borderId="4" xfId="0" applyNumberFormat="1" applyFont="1" applyFill="1" applyBorder="1"/>
    <xf numFmtId="164" fontId="3" fillId="4" borderId="5" xfId="0" applyNumberFormat="1" applyFont="1" applyFill="1" applyBorder="1"/>
    <xf numFmtId="164" fontId="0" fillId="0" borderId="6" xfId="0" applyNumberFormat="1" applyBorder="1"/>
    <xf numFmtId="164" fontId="0" fillId="0" borderId="7" xfId="0" applyNumberFormat="1" applyBorder="1"/>
    <xf numFmtId="164" fontId="3" fillId="4" borderId="4" xfId="0" applyNumberFormat="1" applyFont="1" applyFill="1" applyBorder="1"/>
    <xf numFmtId="164" fontId="3" fillId="3" borderId="5" xfId="0" applyNumberFormat="1" applyFont="1" applyFill="1" applyBorder="1"/>
    <xf numFmtId="0" fontId="1" fillId="0" borderId="0" xfId="0" applyFont="1"/>
    <xf numFmtId="4" fontId="0" fillId="0" borderId="2" xfId="0" applyNumberFormat="1" applyBorder="1" applyAlignment="1">
      <alignment horizontal="center" wrapText="1"/>
    </xf>
    <xf numFmtId="4" fontId="0" fillId="0" borderId="8" xfId="0" applyNumberFormat="1" applyBorder="1" applyAlignment="1">
      <alignment horizontal="center" wrapText="1"/>
    </xf>
    <xf numFmtId="4" fontId="0" fillId="0" borderId="4" xfId="0" applyNumberFormat="1" applyBorder="1" applyAlignment="1">
      <alignment horizontal="center" wrapText="1"/>
    </xf>
    <xf numFmtId="4" fontId="0" fillId="0" borderId="3" xfId="0" applyNumberFormat="1" applyBorder="1" applyAlignment="1">
      <alignment horizontal="center" wrapText="1"/>
    </xf>
    <xf numFmtId="164" fontId="3" fillId="4" borderId="0" xfId="0" applyNumberFormat="1" applyFont="1" applyFill="1"/>
    <xf numFmtId="164" fontId="0" fillId="0" borderId="9" xfId="0" applyNumberFormat="1" applyBorder="1"/>
    <xf numFmtId="4" fontId="0" fillId="0" borderId="5" xfId="0" applyNumberFormat="1" applyBorder="1" applyAlignment="1">
      <alignment horizontal="center" wrapText="1"/>
    </xf>
    <xf numFmtId="3" fontId="2" fillId="2" borderId="0" xfId="0" applyNumberFormat="1" applyFont="1" applyFill="1"/>
    <xf numFmtId="0" fontId="4" fillId="5" borderId="0" xfId="0" applyFont="1" applyFill="1"/>
    <xf numFmtId="0" fontId="5" fillId="0" borderId="0" xfId="0" applyFont="1"/>
    <xf numFmtId="166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4">
    <dxf>
      <fill>
        <patternFill>
          <bgColor rgb="FFF0FFE5"/>
        </patternFill>
      </fill>
    </dxf>
    <dxf>
      <fill>
        <patternFill>
          <bgColor rgb="FFFEECEE"/>
        </patternFill>
      </fill>
    </dxf>
    <dxf>
      <fill>
        <patternFill>
          <bgColor rgb="FFF0FFE5"/>
        </patternFill>
      </fill>
    </dxf>
    <dxf>
      <fill>
        <patternFill>
          <bgColor rgb="FFFEECE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Cost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'Delay LD'!$J$9:$J$18</c:f>
              <c:numCache>
                <c:formatCode>_(* #,##0.00_);_(* \(#,##0.00\);_(* "-"??_);_(@_)</c:formatCode>
                <c:ptCount val="10"/>
                <c:pt idx="0">
                  <c:v>11559.484126984125</c:v>
                </c:pt>
                <c:pt idx="1">
                  <c:v>10914.600261400856</c:v>
                </c:pt>
                <c:pt idx="2">
                  <c:v>10799.716395817586</c:v>
                </c:pt>
                <c:pt idx="3">
                  <c:v>10839.832530234316</c:v>
                </c:pt>
                <c:pt idx="4">
                  <c:v>10965.504220206602</c:v>
                </c:pt>
                <c:pt idx="5">
                  <c:v>11152.425910178887</c:v>
                </c:pt>
                <c:pt idx="6">
                  <c:v>11389.347600151172</c:v>
                </c:pt>
                <c:pt idx="7">
                  <c:v>11670.158179012345</c:v>
                </c:pt>
                <c:pt idx="8">
                  <c:v>11991.172839506173</c:v>
                </c:pt>
                <c:pt idx="9">
                  <c:v>12350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58-4D10-B82E-7D008B57FE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936096"/>
        <c:axId val="1958945696"/>
      </c:barChart>
      <c:catAx>
        <c:axId val="195893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45696"/>
        <c:crosses val="autoZero"/>
        <c:auto val="1"/>
        <c:lblAlgn val="ctr"/>
        <c:lblOffset val="100"/>
        <c:noMultiLvlLbl val="0"/>
      </c:catAx>
      <c:valAx>
        <c:axId val="1958945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3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Change in Cost with Delay or Other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Change in Construction Cost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'Delay LD'!$F$9:$F$18</c:f>
              <c:numCache>
                <c:formatCode>_-* #,##0.00_-;[Red]_(* \(#,##0.00\);_-* "-"??_-;_-@_-</c:formatCode>
                <c:ptCount val="10"/>
                <c:pt idx="0">
                  <c:v>774.88386558327034</c:v>
                </c:pt>
                <c:pt idx="1">
                  <c:v>274.88386558327034</c:v>
                </c:pt>
                <c:pt idx="2">
                  <c:v>149.88386558327034</c:v>
                </c:pt>
                <c:pt idx="3">
                  <c:v>94.328310027714792</c:v>
                </c:pt>
                <c:pt idx="4">
                  <c:v>63.078310027714785</c:v>
                </c:pt>
                <c:pt idx="5">
                  <c:v>43.078310027714785</c:v>
                </c:pt>
                <c:pt idx="6">
                  <c:v>29.1894211388259</c:v>
                </c:pt>
                <c:pt idx="7">
                  <c:v>18.985339506172838</c:v>
                </c:pt>
                <c:pt idx="8">
                  <c:v>11.172839506172838</c:v>
                </c:pt>
                <c:pt idx="9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4A-40F0-8F49-873B612129B8}"/>
            </c:ext>
          </c:extLst>
        </c:ser>
        <c:ser>
          <c:idx val="1"/>
          <c:order val="1"/>
          <c:tx>
            <c:v>Change in Off-taker Cost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'Delay LD'!$H$9:$H$18</c:f>
              <c:numCache>
                <c:formatCode>_-* #,##0.00_-;[Red]_(* \(#,##0.00\);_-* "-"??_-;_-@_-</c:formatCode>
                <c:ptCount val="10"/>
                <c:pt idx="0">
                  <c:v>100</c:v>
                </c:pt>
                <c:pt idx="1">
                  <c:v>130</c:v>
                </c:pt>
                <c:pt idx="2">
                  <c:v>160</c:v>
                </c:pt>
                <c:pt idx="3">
                  <c:v>190</c:v>
                </c:pt>
                <c:pt idx="4">
                  <c:v>220</c:v>
                </c:pt>
                <c:pt idx="5">
                  <c:v>250</c:v>
                </c:pt>
                <c:pt idx="6">
                  <c:v>280</c:v>
                </c:pt>
                <c:pt idx="7">
                  <c:v>310</c:v>
                </c:pt>
                <c:pt idx="8">
                  <c:v>340</c:v>
                </c:pt>
                <c:pt idx="9">
                  <c:v>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4A-40F0-8F49-873B61212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31472"/>
        <c:axId val="960129072"/>
      </c:lineChart>
      <c:catAx>
        <c:axId val="960131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29072"/>
        <c:crosses val="autoZero"/>
        <c:auto val="1"/>
        <c:lblAlgn val="ctr"/>
        <c:lblOffset val="100"/>
        <c:noMultiLvlLbl val="0"/>
      </c:catAx>
      <c:valAx>
        <c:axId val="9601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[Red]_(* \(#,##0.00\)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3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Cost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Availability!$M$9:$M$18</c:f>
              <c:numCache>
                <c:formatCode>_(* #,##0_);[Red]_(* \(#,##0\);_(* "-"??_);_(@_)</c:formatCode>
                <c:ptCount val="10"/>
                <c:pt idx="0">
                  <c:v>15876000</c:v>
                </c:pt>
                <c:pt idx="1">
                  <c:v>14752000</c:v>
                </c:pt>
                <c:pt idx="2">
                  <c:v>13698080</c:v>
                </c:pt>
                <c:pt idx="3">
                  <c:v>13214240</c:v>
                </c:pt>
                <c:pt idx="4">
                  <c:v>12800480</c:v>
                </c:pt>
                <c:pt idx="5">
                  <c:v>12956800</c:v>
                </c:pt>
                <c:pt idx="6">
                  <c:v>13683200</c:v>
                </c:pt>
                <c:pt idx="7">
                  <c:v>14479680</c:v>
                </c:pt>
                <c:pt idx="8">
                  <c:v>15451360</c:v>
                </c:pt>
                <c:pt idx="9">
                  <c:v>16598240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ED-4222-A865-3BB76DB6F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936096"/>
        <c:axId val="1958945696"/>
      </c:barChart>
      <c:catAx>
        <c:axId val="195893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45696"/>
        <c:crosses val="autoZero"/>
        <c:auto val="1"/>
        <c:lblAlgn val="ctr"/>
        <c:lblOffset val="100"/>
        <c:noMultiLvlLbl val="0"/>
      </c:catAx>
      <c:valAx>
        <c:axId val="1958945696"/>
        <c:scaling>
          <c:orientation val="minMax"/>
          <c:min val="8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3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Change in Cost with Delay or Other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Change in Construction Cost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Availability!$I$9:$I$18</c:f>
              <c:numCache>
                <c:formatCode>_(* #,##0_);[Red]_(* \(#,##0\);_(* "-"??_);_(@_)</c:formatCode>
                <c:ptCount val="10"/>
                <c:pt idx="1">
                  <c:v>2000000</c:v>
                </c:pt>
                <c:pt idx="2">
                  <c:v>2000000</c:v>
                </c:pt>
                <c:pt idx="3">
                  <c:v>1500000</c:v>
                </c:pt>
                <c:pt idx="4">
                  <c:v>1500000</c:v>
                </c:pt>
                <c:pt idx="5">
                  <c:v>1000000</c:v>
                </c:pt>
                <c:pt idx="6">
                  <c:v>500000</c:v>
                </c:pt>
                <c:pt idx="7">
                  <c:v>500000</c:v>
                </c:pt>
                <c:pt idx="8">
                  <c:v>500000</c:v>
                </c:pt>
                <c:pt idx="9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9-49F6-BCE1-73CC95881052}"/>
            </c:ext>
          </c:extLst>
        </c:ser>
        <c:ser>
          <c:idx val="1"/>
          <c:order val="1"/>
          <c:tx>
            <c:v>Change in Off-taker Cost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Availability!$K$9:$K$18</c:f>
              <c:numCache>
                <c:formatCode>_(* #,##0_);[Red]_(* \(#,##0\);_(* "-"??_);_(@_)</c:formatCode>
                <c:ptCount val="10"/>
                <c:pt idx="0">
                  <c:v>876000</c:v>
                </c:pt>
                <c:pt idx="1">
                  <c:v>876000</c:v>
                </c:pt>
                <c:pt idx="2">
                  <c:v>946080</c:v>
                </c:pt>
                <c:pt idx="3">
                  <c:v>1016160</c:v>
                </c:pt>
                <c:pt idx="4">
                  <c:v>1086240</c:v>
                </c:pt>
                <c:pt idx="5">
                  <c:v>1156320</c:v>
                </c:pt>
                <c:pt idx="6">
                  <c:v>1226400</c:v>
                </c:pt>
                <c:pt idx="7">
                  <c:v>1296480</c:v>
                </c:pt>
                <c:pt idx="8">
                  <c:v>1471680</c:v>
                </c:pt>
                <c:pt idx="9">
                  <c:v>1646880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9-49F6-BCE1-73CC958810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31472"/>
        <c:axId val="960129072"/>
      </c:lineChart>
      <c:catAx>
        <c:axId val="960131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29072"/>
        <c:crosses val="autoZero"/>
        <c:auto val="1"/>
        <c:lblAlgn val="ctr"/>
        <c:lblOffset val="100"/>
        <c:noMultiLvlLbl val="0"/>
      </c:catAx>
      <c:valAx>
        <c:axId val="9601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3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Availability!$E$20</c:f>
              <c:strCache>
                <c:ptCount val="1"/>
                <c:pt idx="0">
                  <c:v>Investor + Off-taker Cost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Availability!$D$21:$D$30</c:f>
              <c:numCache>
                <c:formatCode>0%</c:formatCode>
                <c:ptCount val="10"/>
                <c:pt idx="0">
                  <c:v>0.98</c:v>
                </c:pt>
                <c:pt idx="1">
                  <c:v>0.96</c:v>
                </c:pt>
                <c:pt idx="2">
                  <c:v>0.94</c:v>
                </c:pt>
                <c:pt idx="3">
                  <c:v>0.92</c:v>
                </c:pt>
                <c:pt idx="4">
                  <c:v>0.9</c:v>
                </c:pt>
                <c:pt idx="5">
                  <c:v>0.88</c:v>
                </c:pt>
                <c:pt idx="6">
                  <c:v>0.86</c:v>
                </c:pt>
                <c:pt idx="7">
                  <c:v>0.84</c:v>
                </c:pt>
                <c:pt idx="8">
                  <c:v>0.82000000000000006</c:v>
                </c:pt>
                <c:pt idx="9">
                  <c:v>0.8</c:v>
                </c:pt>
              </c:numCache>
            </c:numRef>
          </c:cat>
          <c:val>
            <c:numRef>
              <c:f>Availability!$E$21:$E$30</c:f>
              <c:numCache>
                <c:formatCode>_(* #,##0_);[Red]_(* \(#,##0\);_(* "-"??_);_(@_)</c:formatCode>
                <c:ptCount val="10"/>
                <c:pt idx="0">
                  <c:v>15876000</c:v>
                </c:pt>
                <c:pt idx="1">
                  <c:v>14752000</c:v>
                </c:pt>
                <c:pt idx="2">
                  <c:v>13698080</c:v>
                </c:pt>
                <c:pt idx="3">
                  <c:v>13214240</c:v>
                </c:pt>
                <c:pt idx="4">
                  <c:v>12800480</c:v>
                </c:pt>
                <c:pt idx="5">
                  <c:v>12956800</c:v>
                </c:pt>
                <c:pt idx="6">
                  <c:v>13683200</c:v>
                </c:pt>
                <c:pt idx="7">
                  <c:v>14479680</c:v>
                </c:pt>
                <c:pt idx="8">
                  <c:v>15451360</c:v>
                </c:pt>
                <c:pt idx="9">
                  <c:v>16598240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10-4130-9236-7F510AF8DD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0394144"/>
        <c:axId val="1570398464"/>
      </c:barChart>
      <c:catAx>
        <c:axId val="1570394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Availability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398464"/>
        <c:crosses val="autoZero"/>
        <c:auto val="1"/>
        <c:lblAlgn val="ctr"/>
        <c:lblOffset val="100"/>
        <c:noMultiLvlLbl val="0"/>
      </c:catAx>
      <c:valAx>
        <c:axId val="1570398464"/>
        <c:scaling>
          <c:orientation val="minMax"/>
          <c:min val="8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39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Investor and Off-taker Cost for Different Levels of Availablity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Availability!$E$36</c:f>
              <c:strCache>
                <c:ptCount val="1"/>
                <c:pt idx="0">
                  <c:v>Change in Investor Cost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Availability!$D$37:$D$46</c:f>
              <c:numCache>
                <c:formatCode>0%</c:formatCode>
                <c:ptCount val="10"/>
                <c:pt idx="0">
                  <c:v>0.98</c:v>
                </c:pt>
                <c:pt idx="1">
                  <c:v>0.96</c:v>
                </c:pt>
                <c:pt idx="2">
                  <c:v>0.94</c:v>
                </c:pt>
                <c:pt idx="3">
                  <c:v>0.92</c:v>
                </c:pt>
                <c:pt idx="4">
                  <c:v>0.9</c:v>
                </c:pt>
                <c:pt idx="5">
                  <c:v>0.88</c:v>
                </c:pt>
                <c:pt idx="6">
                  <c:v>0.86</c:v>
                </c:pt>
                <c:pt idx="7">
                  <c:v>0.84</c:v>
                </c:pt>
                <c:pt idx="8">
                  <c:v>0.82000000000000006</c:v>
                </c:pt>
                <c:pt idx="9">
                  <c:v>0.8</c:v>
                </c:pt>
              </c:numCache>
            </c:numRef>
          </c:cat>
          <c:val>
            <c:numRef>
              <c:f>Availability!$E$37:$E$46</c:f>
              <c:numCache>
                <c:formatCode>_(* #,##0_);[Red]_(* \(#,##0\);_(* "-"??_);_(@_)</c:formatCode>
                <c:ptCount val="10"/>
                <c:pt idx="0">
                  <c:v>2000000</c:v>
                </c:pt>
                <c:pt idx="1">
                  <c:v>2000000</c:v>
                </c:pt>
                <c:pt idx="2">
                  <c:v>2000000</c:v>
                </c:pt>
                <c:pt idx="3">
                  <c:v>1500000</c:v>
                </c:pt>
                <c:pt idx="4">
                  <c:v>1500000</c:v>
                </c:pt>
                <c:pt idx="5">
                  <c:v>1000000</c:v>
                </c:pt>
                <c:pt idx="6">
                  <c:v>500000</c:v>
                </c:pt>
                <c:pt idx="7">
                  <c:v>500000</c:v>
                </c:pt>
                <c:pt idx="8">
                  <c:v>500000</c:v>
                </c:pt>
                <c:pt idx="9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58-4D87-9A0E-57108977A29D}"/>
            </c:ext>
          </c:extLst>
        </c:ser>
        <c:ser>
          <c:idx val="1"/>
          <c:order val="1"/>
          <c:tx>
            <c:strRef>
              <c:f>Availability!$F$36</c:f>
              <c:strCache>
                <c:ptCount val="1"/>
                <c:pt idx="0">
                  <c:v>Change in Off-Taker Cost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Availability!$D$37:$D$46</c:f>
              <c:numCache>
                <c:formatCode>0%</c:formatCode>
                <c:ptCount val="10"/>
                <c:pt idx="0">
                  <c:v>0.98</c:v>
                </c:pt>
                <c:pt idx="1">
                  <c:v>0.96</c:v>
                </c:pt>
                <c:pt idx="2">
                  <c:v>0.94</c:v>
                </c:pt>
                <c:pt idx="3">
                  <c:v>0.92</c:v>
                </c:pt>
                <c:pt idx="4">
                  <c:v>0.9</c:v>
                </c:pt>
                <c:pt idx="5">
                  <c:v>0.88</c:v>
                </c:pt>
                <c:pt idx="6">
                  <c:v>0.86</c:v>
                </c:pt>
                <c:pt idx="7">
                  <c:v>0.84</c:v>
                </c:pt>
                <c:pt idx="8">
                  <c:v>0.82000000000000006</c:v>
                </c:pt>
                <c:pt idx="9">
                  <c:v>0.8</c:v>
                </c:pt>
              </c:numCache>
            </c:numRef>
          </c:cat>
          <c:val>
            <c:numRef>
              <c:f>Availability!$F$37:$F$46</c:f>
              <c:numCache>
                <c:formatCode>_(* #,##0_);[Red]_(* \(#,##0\);_(* "-"??_);_(@_)</c:formatCode>
                <c:ptCount val="10"/>
                <c:pt idx="0">
                  <c:v>876000</c:v>
                </c:pt>
                <c:pt idx="1">
                  <c:v>876000</c:v>
                </c:pt>
                <c:pt idx="2">
                  <c:v>946080</c:v>
                </c:pt>
                <c:pt idx="3">
                  <c:v>1016160</c:v>
                </c:pt>
                <c:pt idx="4">
                  <c:v>1086240</c:v>
                </c:pt>
                <c:pt idx="5">
                  <c:v>1156320</c:v>
                </c:pt>
                <c:pt idx="6">
                  <c:v>1226400</c:v>
                </c:pt>
                <c:pt idx="7">
                  <c:v>1296480</c:v>
                </c:pt>
                <c:pt idx="8">
                  <c:v>1471680</c:v>
                </c:pt>
                <c:pt idx="9">
                  <c:v>1646880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58-4D87-9A0E-57108977A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8513168"/>
        <c:axId val="2088507408"/>
      </c:lineChart>
      <c:catAx>
        <c:axId val="2088513168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507408"/>
        <c:crosses val="autoZero"/>
        <c:auto val="1"/>
        <c:lblAlgn val="ctr"/>
        <c:lblOffset val="100"/>
        <c:noMultiLvlLbl val="0"/>
      </c:catAx>
      <c:valAx>
        <c:axId val="208850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51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Cost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'Panel Cleaning'!$N$9:$N$18</c:f>
              <c:numCache>
                <c:formatCode>_(* #,##0_);[Red]_(* \(#,##0\);_(* "-"??_);_(@_)</c:formatCode>
                <c:ptCount val="10"/>
                <c:pt idx="0">
                  <c:v>47850000</c:v>
                </c:pt>
                <c:pt idx="1">
                  <c:v>49500000</c:v>
                </c:pt>
                <c:pt idx="2">
                  <c:v>51442000</c:v>
                </c:pt>
                <c:pt idx="3">
                  <c:v>51000500</c:v>
                </c:pt>
                <c:pt idx="4">
                  <c:v>50632000</c:v>
                </c:pt>
                <c:pt idx="5">
                  <c:v>50435000</c:v>
                </c:pt>
                <c:pt idx="6">
                  <c:v>50360833.333333336</c:v>
                </c:pt>
                <c:pt idx="7">
                  <c:v>50130933.333333336</c:v>
                </c:pt>
                <c:pt idx="8">
                  <c:v>49835333.333333336</c:v>
                </c:pt>
                <c:pt idx="9">
                  <c:v>49498714.285714291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46-48F0-AD6A-5C5471E861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936096"/>
        <c:axId val="1958945696"/>
      </c:barChart>
      <c:catAx>
        <c:axId val="195893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45696"/>
        <c:crosses val="autoZero"/>
        <c:auto val="1"/>
        <c:lblAlgn val="ctr"/>
        <c:lblOffset val="100"/>
        <c:noMultiLvlLbl val="0"/>
      </c:catAx>
      <c:valAx>
        <c:axId val="1958945696"/>
        <c:scaling>
          <c:orientation val="minMax"/>
          <c:min val="8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3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Change in Cost with Delay or Other Factor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Change in Construction Cost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'Panel Cleaning'!$J$9:$J$18</c:f>
              <c:numCache>
                <c:formatCode>_(* #,##0_);[Red]_(* \(#,##0\);_(* "-"??_);_(@_)</c:formatCode>
                <c:ptCount val="10"/>
                <c:pt idx="1">
                  <c:v>2000000</c:v>
                </c:pt>
                <c:pt idx="2">
                  <c:v>2000000</c:v>
                </c:pt>
                <c:pt idx="3">
                  <c:v>1500000</c:v>
                </c:pt>
                <c:pt idx="4">
                  <c:v>1500000</c:v>
                </c:pt>
                <c:pt idx="5">
                  <c:v>1000000</c:v>
                </c:pt>
                <c:pt idx="6">
                  <c:v>500000</c:v>
                </c:pt>
                <c:pt idx="7">
                  <c:v>500000</c:v>
                </c:pt>
                <c:pt idx="8">
                  <c:v>500000</c:v>
                </c:pt>
                <c:pt idx="9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20-4444-B57A-9CF3980A2346}"/>
            </c:ext>
          </c:extLst>
        </c:ser>
        <c:ser>
          <c:idx val="1"/>
          <c:order val="1"/>
          <c:tx>
            <c:v>Change in Off-taker Cost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'Panel Cleaning'!$L$9:$L$18</c:f>
              <c:numCache>
                <c:formatCode>_(* #,##0_);[Red]_(* \(#,##0\);_(* "-"??_);_(@_)</c:formatCode>
                <c:ptCount val="10"/>
                <c:pt idx="0">
                  <c:v>32850000</c:v>
                </c:pt>
                <c:pt idx="1">
                  <c:v>3650000</c:v>
                </c:pt>
                <c:pt idx="2">
                  <c:v>3942000</c:v>
                </c:pt>
                <c:pt idx="3">
                  <c:v>1058500</c:v>
                </c:pt>
                <c:pt idx="4">
                  <c:v>1131500</c:v>
                </c:pt>
                <c:pt idx="5">
                  <c:v>803000.00000000012</c:v>
                </c:pt>
                <c:pt idx="6">
                  <c:v>425833.33333333326</c:v>
                </c:pt>
                <c:pt idx="7">
                  <c:v>270100</c:v>
                </c:pt>
                <c:pt idx="8">
                  <c:v>204399.99999999988</c:v>
                </c:pt>
                <c:pt idx="9">
                  <c:v>163380.95238095243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20-4444-B57A-9CF3980A2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31472"/>
        <c:axId val="960129072"/>
      </c:lineChart>
      <c:catAx>
        <c:axId val="960131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29072"/>
        <c:crosses val="autoZero"/>
        <c:auto val="1"/>
        <c:lblAlgn val="ctr"/>
        <c:lblOffset val="100"/>
        <c:noMultiLvlLbl val="0"/>
      </c:catAx>
      <c:valAx>
        <c:axId val="9601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3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'Panel Cleaning'!$F$20</c:f>
              <c:strCache>
                <c:ptCount val="1"/>
                <c:pt idx="0">
                  <c:v>Investor + Off-taker Cost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'Panel Cleaning'!$D$21:$D$30</c:f>
              <c:numCache>
                <c:formatCode>0%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0.75</c:v>
                </c:pt>
                <c:pt idx="4">
                  <c:v>0.5</c:v>
                </c:pt>
                <c:pt idx="5">
                  <c:v>0.33333333333333331</c:v>
                </c:pt>
                <c:pt idx="6">
                  <c:v>0.25</c:v>
                </c:pt>
                <c:pt idx="7">
                  <c:v>0.2</c:v>
                </c:pt>
                <c:pt idx="8">
                  <c:v>0.16666666666666666</c:v>
                </c:pt>
                <c:pt idx="9">
                  <c:v>0.14285714285714285</c:v>
                </c:pt>
              </c:numCache>
            </c:numRef>
          </c:cat>
          <c:val>
            <c:numRef>
              <c:f>'Panel Cleaning'!$F$21:$F$30</c:f>
              <c:numCache>
                <c:formatCode>_(* #,##0_);[Red]_(* \(#,##0\);_(* "-"??_);_(@_)</c:formatCode>
                <c:ptCount val="10"/>
                <c:pt idx="0">
                  <c:v>47850000</c:v>
                </c:pt>
                <c:pt idx="1">
                  <c:v>49500000</c:v>
                </c:pt>
                <c:pt idx="2">
                  <c:v>51442000</c:v>
                </c:pt>
                <c:pt idx="3">
                  <c:v>51000500</c:v>
                </c:pt>
                <c:pt idx="4">
                  <c:v>50632000</c:v>
                </c:pt>
                <c:pt idx="5">
                  <c:v>50435000</c:v>
                </c:pt>
                <c:pt idx="6">
                  <c:v>50360833.333333336</c:v>
                </c:pt>
                <c:pt idx="7">
                  <c:v>50130933.333333336</c:v>
                </c:pt>
                <c:pt idx="8">
                  <c:v>49835333.333333336</c:v>
                </c:pt>
                <c:pt idx="9">
                  <c:v>49498714.285714291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72-4215-BDAB-4AE49DF4C0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70394144"/>
        <c:axId val="1570398464"/>
      </c:barChart>
      <c:catAx>
        <c:axId val="157039414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Availability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398464"/>
        <c:crosses val="autoZero"/>
        <c:auto val="1"/>
        <c:lblAlgn val="ctr"/>
        <c:lblOffset val="100"/>
        <c:noMultiLvlLbl val="0"/>
      </c:catAx>
      <c:valAx>
        <c:axId val="1570398464"/>
        <c:scaling>
          <c:orientation val="minMax"/>
          <c:min val="8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703941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Investor and Off-taker Cost for Different Levels of Availablity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'Panel Cleaning'!$F$36</c:f>
              <c:strCache>
                <c:ptCount val="1"/>
                <c:pt idx="0">
                  <c:v>Change in Investor Cost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'Panel Cleaning'!$D$37:$D$46</c:f>
              <c:numCache>
                <c:formatCode>0%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0.75</c:v>
                </c:pt>
                <c:pt idx="4">
                  <c:v>0.5</c:v>
                </c:pt>
                <c:pt idx="5">
                  <c:v>0.33333333333333331</c:v>
                </c:pt>
                <c:pt idx="6">
                  <c:v>0.25</c:v>
                </c:pt>
                <c:pt idx="7">
                  <c:v>0.2</c:v>
                </c:pt>
                <c:pt idx="8">
                  <c:v>0.16666666666666666</c:v>
                </c:pt>
                <c:pt idx="9">
                  <c:v>0.14285714285714285</c:v>
                </c:pt>
              </c:numCache>
            </c:numRef>
          </c:cat>
          <c:val>
            <c:numRef>
              <c:f>'Panel Cleaning'!$F$37:$F$46</c:f>
              <c:numCache>
                <c:formatCode>_(* #,##0_);[Red]_(* \(#,##0\);_(* "-"??_);_(@_)</c:formatCode>
                <c:ptCount val="10"/>
                <c:pt idx="0">
                  <c:v>2000000</c:v>
                </c:pt>
                <c:pt idx="1">
                  <c:v>2000000</c:v>
                </c:pt>
                <c:pt idx="2">
                  <c:v>2000000</c:v>
                </c:pt>
                <c:pt idx="3">
                  <c:v>1500000</c:v>
                </c:pt>
                <c:pt idx="4">
                  <c:v>1500000</c:v>
                </c:pt>
                <c:pt idx="5">
                  <c:v>1000000</c:v>
                </c:pt>
                <c:pt idx="6">
                  <c:v>500000</c:v>
                </c:pt>
                <c:pt idx="7">
                  <c:v>500000</c:v>
                </c:pt>
                <c:pt idx="8">
                  <c:v>500000</c:v>
                </c:pt>
                <c:pt idx="9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51-432C-9585-7E9AD0AB2F7E}"/>
            </c:ext>
          </c:extLst>
        </c:ser>
        <c:ser>
          <c:idx val="1"/>
          <c:order val="1"/>
          <c:tx>
            <c:strRef>
              <c:f>'Panel Cleaning'!$G$36</c:f>
              <c:strCache>
                <c:ptCount val="1"/>
                <c:pt idx="0">
                  <c:v>Change in Off-Taker Cost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'Panel Cleaning'!$D$37:$D$46</c:f>
              <c:numCache>
                <c:formatCode>0%</c:formatCode>
                <c:ptCount val="10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0.75</c:v>
                </c:pt>
                <c:pt idx="4">
                  <c:v>0.5</c:v>
                </c:pt>
                <c:pt idx="5">
                  <c:v>0.33333333333333331</c:v>
                </c:pt>
                <c:pt idx="6">
                  <c:v>0.25</c:v>
                </c:pt>
                <c:pt idx="7">
                  <c:v>0.2</c:v>
                </c:pt>
                <c:pt idx="8">
                  <c:v>0.16666666666666666</c:v>
                </c:pt>
                <c:pt idx="9">
                  <c:v>0.14285714285714285</c:v>
                </c:pt>
              </c:numCache>
            </c:numRef>
          </c:cat>
          <c:val>
            <c:numRef>
              <c:f>'Panel Cleaning'!$G$37:$G$46</c:f>
              <c:numCache>
                <c:formatCode>_(* #,##0_);[Red]_(* \(#,##0\);_(* "-"??_);_(@_)</c:formatCode>
                <c:ptCount val="10"/>
                <c:pt idx="0">
                  <c:v>32850000</c:v>
                </c:pt>
                <c:pt idx="1">
                  <c:v>3650000</c:v>
                </c:pt>
                <c:pt idx="2">
                  <c:v>3942000</c:v>
                </c:pt>
                <c:pt idx="3">
                  <c:v>1058500</c:v>
                </c:pt>
                <c:pt idx="4">
                  <c:v>1131500</c:v>
                </c:pt>
                <c:pt idx="5">
                  <c:v>803000.00000000012</c:v>
                </c:pt>
                <c:pt idx="6">
                  <c:v>425833.33333333326</c:v>
                </c:pt>
                <c:pt idx="7">
                  <c:v>270100</c:v>
                </c:pt>
                <c:pt idx="8">
                  <c:v>204399.99999999988</c:v>
                </c:pt>
                <c:pt idx="9">
                  <c:v>163380.95238095243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51-432C-9585-7E9AD0AB2F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88513168"/>
        <c:axId val="2088507408"/>
      </c:lineChart>
      <c:catAx>
        <c:axId val="2088513168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507408"/>
        <c:crosses val="autoZero"/>
        <c:auto val="1"/>
        <c:lblAlgn val="ctr"/>
        <c:lblOffset val="100"/>
        <c:noMultiLvlLbl val="0"/>
      </c:catAx>
      <c:valAx>
        <c:axId val="2088507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[Red]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88513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Sheet1!$J$6:$J$16</c:f>
              <c:numCache>
                <c:formatCode>_(* #,##0.00_);_(* \(#,##0.00\);_(* "-"??_);_(@_)</c:formatCode>
                <c:ptCount val="11"/>
                <c:pt idx="0">
                  <c:v>0</c:v>
                </c:pt>
                <c:pt idx="1">
                  <c:v>9380.1966299414744</c:v>
                </c:pt>
                <c:pt idx="2">
                  <c:v>9027.9489596061121</c:v>
                </c:pt>
                <c:pt idx="3">
                  <c:v>8687.7012892707498</c:v>
                </c:pt>
                <c:pt idx="4">
                  <c:v>8379.4536189353876</c:v>
                </c:pt>
                <c:pt idx="5">
                  <c:v>8133.3480842237559</c:v>
                </c:pt>
                <c:pt idx="6">
                  <c:v>7988.2233116256575</c:v>
                </c:pt>
                <c:pt idx="7">
                  <c:v>7991.0985390275591</c:v>
                </c:pt>
                <c:pt idx="8">
                  <c:v>8196.8754658669568</c:v>
                </c:pt>
                <c:pt idx="9">
                  <c:v>8668.1370849898485</c:v>
                </c:pt>
                <c:pt idx="10">
                  <c:v>9475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28-4747-BD43-F7F3BE5E51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936096"/>
        <c:axId val="1958945696"/>
      </c:barChart>
      <c:catAx>
        <c:axId val="195893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45696"/>
        <c:crosses val="autoZero"/>
        <c:auto val="1"/>
        <c:lblAlgn val="ctr"/>
        <c:lblOffset val="100"/>
        <c:noMultiLvlLbl val="0"/>
      </c:catAx>
      <c:valAx>
        <c:axId val="1958945696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3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Sheet1!$F$7:$F$16</c:f>
              <c:numCache>
                <c:formatCode>_-* #,##0.00_-;[Red]_(* \(#,##0.00\);_-* "-"??_-;_-@_-</c:formatCode>
                <c:ptCount val="10"/>
                <c:pt idx="0">
                  <c:v>555.24767033536239</c:v>
                </c:pt>
                <c:pt idx="1">
                  <c:v>555.24767033536239</c:v>
                </c:pt>
                <c:pt idx="2">
                  <c:v>550.24767033536239</c:v>
                </c:pt>
                <c:pt idx="3">
                  <c:v>536.10553471163144</c:v>
                </c:pt>
                <c:pt idx="4">
                  <c:v>510.12477259809828</c:v>
                </c:pt>
                <c:pt idx="5">
                  <c:v>470.12477259809828</c:v>
                </c:pt>
                <c:pt idx="6">
                  <c:v>414.22307316060352</c:v>
                </c:pt>
                <c:pt idx="7">
                  <c:v>340.73838087710817</c:v>
                </c:pt>
                <c:pt idx="8">
                  <c:v>248.13708498984755</c:v>
                </c:pt>
                <c:pt idx="9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BC-4311-8715-8E22D49280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4548800"/>
        <c:axId val="954549280"/>
      </c:barChart>
      <c:catAx>
        <c:axId val="9545488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549280"/>
        <c:crosses val="autoZero"/>
        <c:auto val="1"/>
        <c:lblAlgn val="ctr"/>
        <c:lblOffset val="100"/>
        <c:noMultiLvlLbl val="0"/>
      </c:catAx>
      <c:valAx>
        <c:axId val="95454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[Red]_(* \(#,##0.00\)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548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Sheet1!$F$7:$F$16</c:f>
              <c:numCache>
                <c:formatCode>_-* #,##0.00_-;[Red]_(* \(#,##0.00\);_-* "-"??_-;_-@_-</c:formatCode>
                <c:ptCount val="10"/>
                <c:pt idx="0">
                  <c:v>555.24767033536239</c:v>
                </c:pt>
                <c:pt idx="1">
                  <c:v>555.24767033536239</c:v>
                </c:pt>
                <c:pt idx="2">
                  <c:v>550.24767033536239</c:v>
                </c:pt>
                <c:pt idx="3">
                  <c:v>536.10553471163144</c:v>
                </c:pt>
                <c:pt idx="4">
                  <c:v>510.12477259809828</c:v>
                </c:pt>
                <c:pt idx="5">
                  <c:v>470.12477259809828</c:v>
                </c:pt>
                <c:pt idx="6">
                  <c:v>414.22307316060352</c:v>
                </c:pt>
                <c:pt idx="7">
                  <c:v>340.73838087710817</c:v>
                </c:pt>
                <c:pt idx="8">
                  <c:v>248.13708498984755</c:v>
                </c:pt>
                <c:pt idx="9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27-48A3-A6B2-AE88D4E3F7D1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Sheet1!$H$7:$H$16</c:f>
              <c:numCache>
                <c:formatCode>General</c:formatCode>
                <c:ptCount val="10"/>
                <c:pt idx="0">
                  <c:v>200</c:v>
                </c:pt>
                <c:pt idx="1">
                  <c:v>203</c:v>
                </c:pt>
                <c:pt idx="2">
                  <c:v>215</c:v>
                </c:pt>
                <c:pt idx="3">
                  <c:v>242</c:v>
                </c:pt>
                <c:pt idx="4">
                  <c:v>290</c:v>
                </c:pt>
                <c:pt idx="5">
                  <c:v>365</c:v>
                </c:pt>
                <c:pt idx="6">
                  <c:v>473</c:v>
                </c:pt>
                <c:pt idx="7">
                  <c:v>620</c:v>
                </c:pt>
                <c:pt idx="8">
                  <c:v>812</c:v>
                </c:pt>
                <c:pt idx="9">
                  <c:v>1055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27-48A3-A6B2-AE88D4E3F7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0131472"/>
        <c:axId val="960129072"/>
      </c:barChart>
      <c:catAx>
        <c:axId val="960131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29072"/>
        <c:crosses val="autoZero"/>
        <c:auto val="1"/>
        <c:lblAlgn val="ctr"/>
        <c:lblOffset val="100"/>
        <c:noMultiLvlLbl val="0"/>
      </c:catAx>
      <c:valAx>
        <c:axId val="9601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[Red]_(* \(#,##0.00\)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3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'Sheet1 (2)'!$J$6:$J$16</c:f>
              <c:numCache>
                <c:formatCode>_(* #,##0.00_);_(* \(#,##0.00\);_(* "-"??_);_(@_)</c:formatCode>
                <c:ptCount val="11"/>
                <c:pt idx="0">
                  <c:v>0</c:v>
                </c:pt>
                <c:pt idx="1">
                  <c:v>9658</c:v>
                </c:pt>
                <c:pt idx="2">
                  <c:v>9288.7999999999993</c:v>
                </c:pt>
                <c:pt idx="3">
                  <c:v>8926</c:v>
                </c:pt>
                <c:pt idx="4">
                  <c:v>8586.7999999999993</c:v>
                </c:pt>
                <c:pt idx="5">
                  <c:v>8306.7999999999993</c:v>
                </c:pt>
                <c:pt idx="6">
                  <c:v>8144.8</c:v>
                </c:pt>
                <c:pt idx="7">
                  <c:v>8187.6</c:v>
                </c:pt>
                <c:pt idx="8">
                  <c:v>8554.7999999999993</c:v>
                </c:pt>
                <c:pt idx="9">
                  <c:v>9403.6</c:v>
                </c:pt>
                <c:pt idx="10">
                  <c:v>10933.6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55-4B7C-B29B-9800C8D1D9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58936096"/>
        <c:axId val="1958945696"/>
      </c:barChart>
      <c:catAx>
        <c:axId val="195893609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45696"/>
        <c:crosses val="autoZero"/>
        <c:auto val="1"/>
        <c:lblAlgn val="ctr"/>
        <c:lblOffset val="100"/>
        <c:noMultiLvlLbl val="0"/>
      </c:catAx>
      <c:valAx>
        <c:axId val="1958945696"/>
        <c:scaling>
          <c:orientation val="minMax"/>
          <c:min val="5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8936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'Sheet1 (2)'!$F$7:$F$16</c:f>
              <c:numCache>
                <c:formatCode>_-* #,##0.00_-;[Red]_(* \(#,##0.00\);_-* "-"??_-;_-@_-</c:formatCode>
                <c:ptCount val="10"/>
                <c:pt idx="0">
                  <c:v>570</c:v>
                </c:pt>
                <c:pt idx="1">
                  <c:v>570</c:v>
                </c:pt>
                <c:pt idx="2">
                  <c:v>568</c:v>
                </c:pt>
                <c:pt idx="3">
                  <c:v>560</c:v>
                </c:pt>
                <c:pt idx="4">
                  <c:v>542</c:v>
                </c:pt>
                <c:pt idx="5">
                  <c:v>510</c:v>
                </c:pt>
                <c:pt idx="6">
                  <c:v>460</c:v>
                </c:pt>
                <c:pt idx="7">
                  <c:v>388</c:v>
                </c:pt>
                <c:pt idx="8">
                  <c:v>290</c:v>
                </c:pt>
                <c:pt idx="9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C1-4D24-A8E1-CF61869FB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4548800"/>
        <c:axId val="954549280"/>
      </c:barChart>
      <c:catAx>
        <c:axId val="95454880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549280"/>
        <c:crosses val="autoZero"/>
        <c:auto val="1"/>
        <c:lblAlgn val="ctr"/>
        <c:lblOffset val="100"/>
        <c:noMultiLvlLbl val="0"/>
      </c:catAx>
      <c:valAx>
        <c:axId val="954549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[Red]_(* \(#,##0.00\)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4548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'Sheet1 (2)'!$F$7:$F$16</c:f>
              <c:numCache>
                <c:formatCode>_-* #,##0.00_-;[Red]_(* \(#,##0.00\);_-* "-"??_-;_-@_-</c:formatCode>
                <c:ptCount val="10"/>
                <c:pt idx="0">
                  <c:v>570</c:v>
                </c:pt>
                <c:pt idx="1">
                  <c:v>570</c:v>
                </c:pt>
                <c:pt idx="2">
                  <c:v>568</c:v>
                </c:pt>
                <c:pt idx="3">
                  <c:v>560</c:v>
                </c:pt>
                <c:pt idx="4">
                  <c:v>542</c:v>
                </c:pt>
                <c:pt idx="5">
                  <c:v>510</c:v>
                </c:pt>
                <c:pt idx="6">
                  <c:v>460</c:v>
                </c:pt>
                <c:pt idx="7">
                  <c:v>388</c:v>
                </c:pt>
                <c:pt idx="8">
                  <c:v>290</c:v>
                </c:pt>
                <c:pt idx="9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58-4F86-AC8D-2AB8AFD65327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'Sheet1 (2)'!$H$7:$H$16</c:f>
              <c:numCache>
                <c:formatCode>General</c:formatCode>
                <c:ptCount val="10"/>
                <c:pt idx="0">
                  <c:v>200</c:v>
                </c:pt>
                <c:pt idx="1">
                  <c:v>200.8</c:v>
                </c:pt>
                <c:pt idx="2">
                  <c:v>207.20000000000002</c:v>
                </c:pt>
                <c:pt idx="3">
                  <c:v>228.8</c:v>
                </c:pt>
                <c:pt idx="4">
                  <c:v>280</c:v>
                </c:pt>
                <c:pt idx="5">
                  <c:v>380</c:v>
                </c:pt>
                <c:pt idx="6">
                  <c:v>552.79999999999995</c:v>
                </c:pt>
                <c:pt idx="7">
                  <c:v>827.2</c:v>
                </c:pt>
                <c:pt idx="8">
                  <c:v>1236.8000000000002</c:v>
                </c:pt>
                <c:pt idx="9">
                  <c:v>1820.0000000000002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58-4F86-AC8D-2AB8AFD65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0131472"/>
        <c:axId val="960129072"/>
      </c:barChart>
      <c:catAx>
        <c:axId val="960131472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29072"/>
        <c:crosses val="autoZero"/>
        <c:auto val="1"/>
        <c:lblAlgn val="ctr"/>
        <c:lblOffset val="100"/>
        <c:noMultiLvlLbl val="0"/>
      </c:catAx>
      <c:valAx>
        <c:axId val="96012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[Red]_(* \(#,##0.00\)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0131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Incentives for Efficiency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'Incentive Seepominotr'!$C$3</c:f>
              <c:strCache>
                <c:ptCount val="1"/>
                <c:pt idx="0">
                  <c:v>bands value</c:v>
                </c:pt>
              </c:strCache>
            </c:strRef>
          </c:tx>
          <c:spPr>
            <a:solidFill>
              <a:srgbClr val="FF0000"/>
            </a:solidFill>
          </c:spPr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905-42AE-BF59-0CFC800437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905-42AE-BF59-0CFC80043712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905-42AE-BF59-0CFC80043712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905-42AE-BF59-0CFC80043712}"/>
              </c:ext>
            </c:extLst>
          </c:dPt>
          <c:dPt>
            <c:idx val="4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905-42AE-BF59-0CFC80043712}"/>
              </c:ext>
            </c:extLst>
          </c:dPt>
          <c:cat>
            <c:strRef>
              <c:f>'Incentive Seepominotr'!$B$4:$B$8</c:f>
              <c:strCache>
                <c:ptCount val="5"/>
                <c:pt idx="0">
                  <c:v>Red</c:v>
                </c:pt>
                <c:pt idx="1">
                  <c:v>Orange</c:v>
                </c:pt>
                <c:pt idx="2">
                  <c:v>Yellow</c:v>
                </c:pt>
                <c:pt idx="3">
                  <c:v>Green</c:v>
                </c:pt>
                <c:pt idx="4">
                  <c:v>Omitted</c:v>
                </c:pt>
              </c:strCache>
            </c:strRef>
          </c:cat>
          <c:val>
            <c:numRef>
              <c:f>'Incentive Seepominotr'!$C$4:$C$8</c:f>
              <c:numCache>
                <c:formatCode>General</c:formatCode>
                <c:ptCount val="5"/>
                <c:pt idx="0">
                  <c:v>20</c:v>
                </c:pt>
                <c:pt idx="1">
                  <c:v>30</c:v>
                </c:pt>
                <c:pt idx="2">
                  <c:v>30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905-42AE-BF59-0CFC80043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2"/>
          <c:order val="1"/>
          <c:tx>
            <c:strRef>
              <c:f>'Incentive Seepominotr'!$I$3</c:f>
              <c:strCache>
                <c:ptCount val="1"/>
                <c:pt idx="0">
                  <c:v>Value</c:v>
                </c:pt>
              </c:strCache>
            </c:strRef>
          </c:tx>
          <c:spPr>
            <a:noFill/>
          </c:spPr>
          <c:dPt>
            <c:idx val="0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8905-42AE-BF59-0CFC80043712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8905-42AE-BF59-0CFC80043712}"/>
              </c:ext>
            </c:extLst>
          </c:dPt>
          <c:dPt>
            <c:idx val="2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8905-42AE-BF59-0CFC80043712}"/>
              </c:ext>
            </c:extLst>
          </c:dPt>
          <c:cat>
            <c:strRef>
              <c:f>'Incentive Seepominotr'!$H$4:$H$6</c:f>
              <c:strCache>
                <c:ptCount val="3"/>
                <c:pt idx="0">
                  <c:v>Actual</c:v>
                </c:pt>
                <c:pt idx="1">
                  <c:v>Needle</c:v>
                </c:pt>
                <c:pt idx="2">
                  <c:v>Balance</c:v>
                </c:pt>
              </c:strCache>
            </c:strRef>
          </c:cat>
          <c:val>
            <c:numRef>
              <c:f>'Incentive Seepominotr'!$I$4:$I$6</c:f>
              <c:numCache>
                <c:formatCode>General</c:formatCode>
                <c:ptCount val="3"/>
                <c:pt idx="0">
                  <c:v>50</c:v>
                </c:pt>
                <c:pt idx="1">
                  <c:v>3</c:v>
                </c:pt>
                <c:pt idx="2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905-42AE-BF59-0CFC800437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Cost of Capital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'Cost of Capital Speedominitor'!$C$3</c:f>
              <c:strCache>
                <c:ptCount val="1"/>
                <c:pt idx="0">
                  <c:v>bands value</c:v>
                </c:pt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58F9-44F9-958A-FA8717EFDE8D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8F9-44F9-958A-FA8717EFDE8D}"/>
              </c:ext>
            </c:extLst>
          </c:dPt>
          <c:dPt>
            <c:idx val="2"/>
            <c:bubble3D val="0"/>
            <c:spPr>
              <a:solidFill>
                <a:schemeClr val="accent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58F9-44F9-958A-FA8717EFDE8D}"/>
              </c:ext>
            </c:extLst>
          </c:dPt>
          <c:dPt>
            <c:idx val="3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58F9-44F9-958A-FA8717EFDE8D}"/>
              </c:ext>
            </c:extLst>
          </c:dPt>
          <c:dPt>
            <c:idx val="4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8F9-44F9-958A-FA8717EFDE8D}"/>
              </c:ext>
            </c:extLst>
          </c:dPt>
          <c:cat>
            <c:strRef>
              <c:f>'Cost of Capital Speedominitor'!$B$4:$B$8</c:f>
              <c:strCache>
                <c:ptCount val="5"/>
                <c:pt idx="0">
                  <c:v>Red</c:v>
                </c:pt>
                <c:pt idx="1">
                  <c:v>Orange</c:v>
                </c:pt>
                <c:pt idx="2">
                  <c:v>Yellow</c:v>
                </c:pt>
                <c:pt idx="3">
                  <c:v>Green</c:v>
                </c:pt>
                <c:pt idx="4">
                  <c:v>Omitted</c:v>
                </c:pt>
              </c:strCache>
            </c:strRef>
          </c:cat>
          <c:val>
            <c:numRef>
              <c:f>'Cost of Capital Speedominitor'!$C$4:$C$8</c:f>
              <c:numCache>
                <c:formatCode>General</c:formatCode>
                <c:ptCount val="5"/>
                <c:pt idx="0">
                  <c:v>20</c:v>
                </c:pt>
                <c:pt idx="1">
                  <c:v>30</c:v>
                </c:pt>
                <c:pt idx="2">
                  <c:v>30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F9-44F9-958A-FA8717EFD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50"/>
      </c:doughnutChart>
      <c:pieChart>
        <c:varyColors val="1"/>
        <c:ser>
          <c:idx val="1"/>
          <c:order val="1"/>
          <c:tx>
            <c:strRef>
              <c:f>'Cost of Capital Speedominitor'!$I$3</c:f>
              <c:strCache>
                <c:ptCount val="1"/>
                <c:pt idx="0">
                  <c:v>Value</c:v>
                </c:pt>
              </c:strCache>
            </c:strRef>
          </c:tx>
          <c:dPt>
            <c:idx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58F9-44F9-958A-FA8717EFDE8D}"/>
              </c:ext>
            </c:extLst>
          </c:dPt>
          <c:dPt>
            <c:idx val="1"/>
            <c:bubble3D val="0"/>
            <c:spPr>
              <a:solidFill>
                <a:schemeClr val="tx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58F9-44F9-958A-FA8717EFDE8D}"/>
              </c:ext>
            </c:extLst>
          </c:dPt>
          <c:dPt>
            <c:idx val="2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58F9-44F9-958A-FA8717EFDE8D}"/>
              </c:ext>
            </c:extLst>
          </c:dPt>
          <c:cat>
            <c:strRef>
              <c:f>'Cost of Capital Speedominitor'!$H$4:$H$6</c:f>
              <c:strCache>
                <c:ptCount val="3"/>
                <c:pt idx="0">
                  <c:v>Actual</c:v>
                </c:pt>
                <c:pt idx="1">
                  <c:v>Needle</c:v>
                </c:pt>
                <c:pt idx="2">
                  <c:v>Balance</c:v>
                </c:pt>
              </c:strCache>
            </c:strRef>
          </c:cat>
          <c:val>
            <c:numRef>
              <c:f>'Cost of Capital Speedominitor'!$I$4:$I$6</c:f>
              <c:numCache>
                <c:formatCode>General</c:formatCode>
                <c:ptCount val="3"/>
                <c:pt idx="0">
                  <c:v>25</c:v>
                </c:pt>
                <c:pt idx="1">
                  <c:v>3</c:v>
                </c:pt>
                <c:pt idx="2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8F9-44F9-958A-FA8717EFD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chart" Target="../charts/chart6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479425</xdr:colOff>
      <xdr:row>1</xdr:row>
      <xdr:rowOff>88900</xdr:rowOff>
    </xdr:from>
    <xdr:to>
      <xdr:col>19</xdr:col>
      <xdr:colOff>174625</xdr:colOff>
      <xdr:row>13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1274C5-DF0F-4668-B442-80A3437E5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434975</xdr:colOff>
      <xdr:row>13</xdr:row>
      <xdr:rowOff>171450</xdr:rowOff>
    </xdr:from>
    <xdr:to>
      <xdr:col>19</xdr:col>
      <xdr:colOff>130175</xdr:colOff>
      <xdr:row>28</xdr:row>
      <xdr:rowOff>152400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E6B2427-65EF-42FB-8C1D-CE33E8035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479425</xdr:colOff>
      <xdr:row>1</xdr:row>
      <xdr:rowOff>88900</xdr:rowOff>
    </xdr:from>
    <xdr:to>
      <xdr:col>22</xdr:col>
      <xdr:colOff>174625</xdr:colOff>
      <xdr:row>13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5CFEE75-0A47-4002-8B38-88D904136F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434975</xdr:colOff>
      <xdr:row>13</xdr:row>
      <xdr:rowOff>171450</xdr:rowOff>
    </xdr:from>
    <xdr:to>
      <xdr:col>22</xdr:col>
      <xdr:colOff>130175</xdr:colOff>
      <xdr:row>28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CEE2CB5-5D3C-4E41-B08B-D4E9B4806B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746125</xdr:colOff>
      <xdr:row>18</xdr:row>
      <xdr:rowOff>174625</xdr:rowOff>
    </xdr:from>
    <xdr:to>
      <xdr:col>14</xdr:col>
      <xdr:colOff>288925</xdr:colOff>
      <xdr:row>33</xdr:row>
      <xdr:rowOff>155575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9B4726B6-BE67-7379-DD0C-DC359E9CE0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730250</xdr:colOff>
      <xdr:row>38</xdr:row>
      <xdr:rowOff>85725</xdr:rowOff>
    </xdr:from>
    <xdr:to>
      <xdr:col>13</xdr:col>
      <xdr:colOff>247650</xdr:colOff>
      <xdr:row>53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E2EA4B2-6DDD-105A-B566-177D91046F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479425</xdr:colOff>
      <xdr:row>1</xdr:row>
      <xdr:rowOff>88900</xdr:rowOff>
    </xdr:from>
    <xdr:to>
      <xdr:col>23</xdr:col>
      <xdr:colOff>174625</xdr:colOff>
      <xdr:row>13</xdr:row>
      <xdr:rowOff>69850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148909-5318-429F-BCA0-564E425E87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434975</xdr:colOff>
      <xdr:row>13</xdr:row>
      <xdr:rowOff>171450</xdr:rowOff>
    </xdr:from>
    <xdr:to>
      <xdr:col>23</xdr:col>
      <xdr:colOff>130175</xdr:colOff>
      <xdr:row>28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ABD6CC3-10DA-410D-B7D5-65670637F2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746125</xdr:colOff>
      <xdr:row>18</xdr:row>
      <xdr:rowOff>174625</xdr:rowOff>
    </xdr:from>
    <xdr:to>
      <xdr:col>15</xdr:col>
      <xdr:colOff>288925</xdr:colOff>
      <xdr:row>33</xdr:row>
      <xdr:rowOff>155575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A048618-0C0C-4ACE-843E-7915C2413D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730250</xdr:colOff>
      <xdr:row>38</xdr:row>
      <xdr:rowOff>85725</xdr:rowOff>
    </xdr:from>
    <xdr:to>
      <xdr:col>14</xdr:col>
      <xdr:colOff>247650</xdr:colOff>
      <xdr:row>53</xdr:row>
      <xdr:rowOff>66675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BB81399-1571-436B-B9FB-49853368CA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4</xdr:row>
      <xdr:rowOff>69850</xdr:rowOff>
    </xdr:from>
    <xdr:to>
      <xdr:col>19</xdr:col>
      <xdr:colOff>390525</xdr:colOff>
      <xdr:row>19</xdr:row>
      <xdr:rowOff>50800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BD49999-9789-0A05-1350-47D9E25FE6E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34925</xdr:colOff>
      <xdr:row>20</xdr:row>
      <xdr:rowOff>44450</xdr:rowOff>
    </xdr:from>
    <xdr:to>
      <xdr:col>17</xdr:col>
      <xdr:colOff>339725</xdr:colOff>
      <xdr:row>35</xdr:row>
      <xdr:rowOff>25400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73D9F4A4-A93F-7475-37CB-93F24EED119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568325</xdr:colOff>
      <xdr:row>20</xdr:row>
      <xdr:rowOff>44450</xdr:rowOff>
    </xdr:from>
    <xdr:to>
      <xdr:col>25</xdr:col>
      <xdr:colOff>263525</xdr:colOff>
      <xdr:row>35</xdr:row>
      <xdr:rowOff>25400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E3BBCA78-DD95-EC7E-844E-74338A62E3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4</xdr:row>
      <xdr:rowOff>69850</xdr:rowOff>
    </xdr:from>
    <xdr:to>
      <xdr:col>19</xdr:col>
      <xdr:colOff>390525</xdr:colOff>
      <xdr:row>19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FD4590-66DA-402E-B3C9-A57B5D986F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34925</xdr:colOff>
      <xdr:row>20</xdr:row>
      <xdr:rowOff>44450</xdr:rowOff>
    </xdr:from>
    <xdr:to>
      <xdr:col>17</xdr:col>
      <xdr:colOff>339725</xdr:colOff>
      <xdr:row>35</xdr:row>
      <xdr:rowOff>25400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DED98BA-CB3A-4909-BDB1-066FAC8A9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568325</xdr:colOff>
      <xdr:row>20</xdr:row>
      <xdr:rowOff>44450</xdr:rowOff>
    </xdr:from>
    <xdr:to>
      <xdr:col>25</xdr:col>
      <xdr:colOff>263525</xdr:colOff>
      <xdr:row>35</xdr:row>
      <xdr:rowOff>25400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494DDC5-305B-409E-88A5-241C42E754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349250</xdr:colOff>
      <xdr:row>7</xdr:row>
      <xdr:rowOff>95250</xdr:rowOff>
    </xdr:from>
    <xdr:to>
      <xdr:col>14</xdr:col>
      <xdr:colOff>44450</xdr:colOff>
      <xdr:row>22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F74F9E4-F196-495F-A744-4B4A22384A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219075</xdr:colOff>
      <xdr:row>8</xdr:row>
      <xdr:rowOff>0</xdr:rowOff>
    </xdr:from>
    <xdr:to>
      <xdr:col>13</xdr:col>
      <xdr:colOff>523875</xdr:colOff>
      <xdr:row>22</xdr:row>
      <xdr:rowOff>165100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BA5A0305-087B-2F0C-FF26-28564AC9BB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44D8-413F-4F80-99CA-A86040307DB7}">
  <sheetPr codeName="Sheet1"/>
  <dimension ref="A3:L30"/>
  <sheetViews>
    <sheetView showGridLines="0" zoomScale="90" zoomScaleNormal="90" workbookViewId="0">
      <selection activeCell="I23" sqref="I23"/>
    </sheetView>
  </sheetViews>
  <sheetFormatPr defaultRowHeight="14.5" outlineLevelRow="1" outlineLevelCol="1" x14ac:dyDescent="0.35"/>
  <cols>
    <col min="4" max="4" width="0" hidden="1" customWidth="1" outlineLevel="1"/>
    <col min="5" max="5" width="10.81640625" customWidth="1" collapsed="1"/>
    <col min="6" max="6" width="12.1796875" customWidth="1"/>
    <col min="7" max="7" width="11.1796875" customWidth="1"/>
    <col min="8" max="8" width="12.26953125" customWidth="1"/>
    <col min="9" max="9" width="11.90625" customWidth="1"/>
    <col min="10" max="10" width="10.90625" customWidth="1"/>
    <col min="11" max="11" width="11.81640625" customWidth="1"/>
  </cols>
  <sheetData>
    <row r="3" spans="1:12" x14ac:dyDescent="0.35">
      <c r="F3" s="20" t="s">
        <v>30</v>
      </c>
      <c r="G3" s="21"/>
      <c r="H3" s="20" t="s">
        <v>27</v>
      </c>
      <c r="I3" s="21"/>
      <c r="J3" s="20" t="s">
        <v>28</v>
      </c>
      <c r="K3" s="21"/>
    </row>
    <row r="4" spans="1:12" ht="58" x14ac:dyDescent="0.35">
      <c r="C4" t="s">
        <v>0</v>
      </c>
      <c r="D4" t="s">
        <v>1</v>
      </c>
      <c r="E4" s="11" t="s">
        <v>20</v>
      </c>
      <c r="F4" s="15" t="s">
        <v>14</v>
      </c>
      <c r="G4" s="16" t="s">
        <v>13</v>
      </c>
      <c r="H4" s="15" t="s">
        <v>16</v>
      </c>
      <c r="I4" s="16" t="s">
        <v>15</v>
      </c>
      <c r="J4" s="15" t="s">
        <v>17</v>
      </c>
      <c r="K4" s="16" t="s">
        <v>18</v>
      </c>
      <c r="L4" s="11"/>
    </row>
    <row r="5" spans="1:12" hidden="1" outlineLevel="1" x14ac:dyDescent="0.35">
      <c r="A5" t="s">
        <v>29</v>
      </c>
      <c r="F5" s="17"/>
      <c r="G5" s="18"/>
      <c r="H5" s="17"/>
      <c r="I5" s="18"/>
      <c r="J5" s="17"/>
      <c r="K5" s="18"/>
    </row>
    <row r="6" spans="1:12" hidden="1" outlineLevel="1" x14ac:dyDescent="0.35">
      <c r="E6" s="11" t="s">
        <v>12</v>
      </c>
      <c r="F6" s="19">
        <v>500</v>
      </c>
      <c r="G6" s="18"/>
      <c r="H6" s="19">
        <v>30</v>
      </c>
      <c r="I6" s="18"/>
      <c r="J6" s="17"/>
      <c r="K6" s="18"/>
    </row>
    <row r="7" spans="1:12" hidden="1" outlineLevel="1" x14ac:dyDescent="0.35">
      <c r="E7" s="11" t="s">
        <v>19</v>
      </c>
      <c r="F7" s="19">
        <v>-2</v>
      </c>
      <c r="G7" s="18"/>
      <c r="H7" s="19">
        <v>0</v>
      </c>
      <c r="I7" s="18"/>
      <c r="J7" s="17"/>
      <c r="K7" s="18"/>
    </row>
    <row r="8" spans="1:12" collapsed="1" x14ac:dyDescent="0.35">
      <c r="C8" s="12">
        <v>46023</v>
      </c>
      <c r="D8" s="7" t="b">
        <v>0</v>
      </c>
      <c r="E8" s="7">
        <v>1</v>
      </c>
      <c r="F8" s="8"/>
      <c r="G8" s="8">
        <f t="shared" ref="G8:G16" si="0">G9+F8</f>
        <v>11459.484126984125</v>
      </c>
      <c r="H8" s="14">
        <v>0</v>
      </c>
      <c r="I8" s="8">
        <f>H8+I7</f>
        <v>0</v>
      </c>
      <c r="J8" s="9">
        <f>I8+F8</f>
        <v>0</v>
      </c>
      <c r="K8" s="7"/>
    </row>
    <row r="9" spans="1:12" x14ac:dyDescent="0.35">
      <c r="C9" s="6">
        <f>EDATE(C8,3)</f>
        <v>46113</v>
      </c>
      <c r="D9" s="7" t="b">
        <v>0</v>
      </c>
      <c r="E9" s="13">
        <v>1</v>
      </c>
      <c r="F9" s="8">
        <f t="shared" ref="F9:F18" si="1">F10+((E9)^$F$7)*$F$6</f>
        <v>774.88386558327034</v>
      </c>
      <c r="G9" s="8">
        <f t="shared" si="0"/>
        <v>11459.484126984125</v>
      </c>
      <c r="H9" s="14">
        <v>100</v>
      </c>
      <c r="I9" s="8">
        <f t="shared" ref="I9:I18" si="2">H9+I8</f>
        <v>100</v>
      </c>
      <c r="J9" s="9">
        <f t="shared" ref="J9:J18" si="3">G9+I9</f>
        <v>11559.484126984125</v>
      </c>
      <c r="K9" s="7"/>
    </row>
    <row r="10" spans="1:12" x14ac:dyDescent="0.35">
      <c r="C10" s="6">
        <f t="shared" ref="C10:C18" si="4">EDATE(C9,3)</f>
        <v>46204</v>
      </c>
      <c r="D10" s="7" t="b">
        <v>1</v>
      </c>
      <c r="E10" s="7">
        <f t="shared" ref="E10:E18" si="5">E9+D10</f>
        <v>2</v>
      </c>
      <c r="F10" s="8">
        <f t="shared" si="1"/>
        <v>274.88386558327034</v>
      </c>
      <c r="G10" s="8">
        <f t="shared" si="0"/>
        <v>10684.600261400856</v>
      </c>
      <c r="H10" s="8">
        <f t="shared" ref="H10:H18" si="6">H9+(E10^$H$7)*$H$6</f>
        <v>130</v>
      </c>
      <c r="I10" s="8">
        <f t="shared" si="2"/>
        <v>230</v>
      </c>
      <c r="J10" s="9">
        <f t="shared" si="3"/>
        <v>10914.600261400856</v>
      </c>
      <c r="K10" s="9">
        <f>J10-J9</f>
        <v>-644.88386558326965</v>
      </c>
    </row>
    <row r="11" spans="1:12" x14ac:dyDescent="0.35">
      <c r="C11" s="6">
        <f t="shared" si="4"/>
        <v>46296</v>
      </c>
      <c r="D11" s="7" t="b">
        <v>1</v>
      </c>
      <c r="E11" s="7">
        <f t="shared" si="5"/>
        <v>3</v>
      </c>
      <c r="F11" s="8">
        <f t="shared" si="1"/>
        <v>149.88386558327034</v>
      </c>
      <c r="G11" s="8">
        <f t="shared" si="0"/>
        <v>10409.716395817586</v>
      </c>
      <c r="H11" s="8">
        <f t="shared" si="6"/>
        <v>160</v>
      </c>
      <c r="I11" s="8">
        <f t="shared" si="2"/>
        <v>390</v>
      </c>
      <c r="J11" s="9">
        <f t="shared" si="3"/>
        <v>10799.716395817586</v>
      </c>
      <c r="K11" s="9">
        <f t="shared" ref="K11:K18" si="7">J11-J10</f>
        <v>-114.88386558326965</v>
      </c>
    </row>
    <row r="12" spans="1:12" x14ac:dyDescent="0.35">
      <c r="C12" s="6">
        <f t="shared" si="4"/>
        <v>46388</v>
      </c>
      <c r="D12" s="7" t="b">
        <v>1</v>
      </c>
      <c r="E12" s="7">
        <f t="shared" si="5"/>
        <v>4</v>
      </c>
      <c r="F12" s="8">
        <f t="shared" si="1"/>
        <v>94.328310027714792</v>
      </c>
      <c r="G12" s="8">
        <f t="shared" si="0"/>
        <v>10259.832530234316</v>
      </c>
      <c r="H12" s="8">
        <f t="shared" si="6"/>
        <v>190</v>
      </c>
      <c r="I12" s="8">
        <f t="shared" si="2"/>
        <v>580</v>
      </c>
      <c r="J12" s="9">
        <f t="shared" si="3"/>
        <v>10839.832530234316</v>
      </c>
      <c r="K12" s="9">
        <f t="shared" si="7"/>
        <v>40.116134416730347</v>
      </c>
    </row>
    <row r="13" spans="1:12" x14ac:dyDescent="0.35">
      <c r="C13" s="6">
        <f t="shared" si="4"/>
        <v>46478</v>
      </c>
      <c r="D13" s="7" t="b">
        <v>1</v>
      </c>
      <c r="E13" s="7">
        <f t="shared" si="5"/>
        <v>5</v>
      </c>
      <c r="F13" s="8">
        <f t="shared" si="1"/>
        <v>63.078310027714785</v>
      </c>
      <c r="G13" s="8">
        <f t="shared" si="0"/>
        <v>10165.504220206602</v>
      </c>
      <c r="H13" s="8">
        <f t="shared" si="6"/>
        <v>220</v>
      </c>
      <c r="I13" s="8">
        <f t="shared" si="2"/>
        <v>800</v>
      </c>
      <c r="J13" s="9">
        <f t="shared" si="3"/>
        <v>10965.504220206602</v>
      </c>
      <c r="K13" s="9">
        <f t="shared" si="7"/>
        <v>125.67168997228509</v>
      </c>
    </row>
    <row r="14" spans="1:12" x14ac:dyDescent="0.35">
      <c r="C14" s="6">
        <f t="shared" si="4"/>
        <v>46569</v>
      </c>
      <c r="D14" s="7" t="b">
        <v>1</v>
      </c>
      <c r="E14" s="7">
        <f t="shared" si="5"/>
        <v>6</v>
      </c>
      <c r="F14" s="8">
        <f t="shared" si="1"/>
        <v>43.078310027714785</v>
      </c>
      <c r="G14" s="8">
        <f t="shared" si="0"/>
        <v>10102.425910178887</v>
      </c>
      <c r="H14" s="8">
        <f t="shared" si="6"/>
        <v>250</v>
      </c>
      <c r="I14" s="8">
        <f t="shared" si="2"/>
        <v>1050</v>
      </c>
      <c r="J14" s="9">
        <f t="shared" si="3"/>
        <v>11152.425910178887</v>
      </c>
      <c r="K14" s="9">
        <f t="shared" si="7"/>
        <v>186.92168997228509</v>
      </c>
    </row>
    <row r="15" spans="1:12" x14ac:dyDescent="0.35">
      <c r="C15" s="6">
        <f t="shared" si="4"/>
        <v>46661</v>
      </c>
      <c r="D15" s="7" t="b">
        <v>1</v>
      </c>
      <c r="E15" s="7">
        <f t="shared" si="5"/>
        <v>7</v>
      </c>
      <c r="F15" s="8">
        <f t="shared" si="1"/>
        <v>29.1894211388259</v>
      </c>
      <c r="G15" s="8">
        <f t="shared" si="0"/>
        <v>10059.347600151172</v>
      </c>
      <c r="H15" s="8">
        <f t="shared" si="6"/>
        <v>280</v>
      </c>
      <c r="I15" s="8">
        <f t="shared" si="2"/>
        <v>1330</v>
      </c>
      <c r="J15" s="9">
        <f t="shared" si="3"/>
        <v>11389.347600151172</v>
      </c>
      <c r="K15" s="9">
        <f t="shared" si="7"/>
        <v>236.92168997228509</v>
      </c>
    </row>
    <row r="16" spans="1:12" x14ac:dyDescent="0.35">
      <c r="C16" s="6">
        <f t="shared" si="4"/>
        <v>46753</v>
      </c>
      <c r="D16" s="7" t="b">
        <v>1</v>
      </c>
      <c r="E16" s="7">
        <f t="shared" si="5"/>
        <v>8</v>
      </c>
      <c r="F16" s="8">
        <f t="shared" si="1"/>
        <v>18.985339506172838</v>
      </c>
      <c r="G16" s="8">
        <f t="shared" si="0"/>
        <v>10030.158179012345</v>
      </c>
      <c r="H16" s="8">
        <f t="shared" si="6"/>
        <v>310</v>
      </c>
      <c r="I16" s="8">
        <f t="shared" si="2"/>
        <v>1640</v>
      </c>
      <c r="J16" s="9">
        <f t="shared" si="3"/>
        <v>11670.158179012345</v>
      </c>
      <c r="K16" s="9">
        <f t="shared" si="7"/>
        <v>280.81057886117378</v>
      </c>
    </row>
    <row r="17" spans="3:11" x14ac:dyDescent="0.35">
      <c r="C17" s="6">
        <f t="shared" si="4"/>
        <v>46844</v>
      </c>
      <c r="D17" s="7" t="b">
        <v>1</v>
      </c>
      <c r="E17" s="7">
        <f t="shared" si="5"/>
        <v>9</v>
      </c>
      <c r="F17" s="8">
        <f t="shared" si="1"/>
        <v>11.172839506172838</v>
      </c>
      <c r="G17" s="8">
        <f>G18+F17</f>
        <v>10011.172839506173</v>
      </c>
      <c r="H17" s="8">
        <f t="shared" si="6"/>
        <v>340</v>
      </c>
      <c r="I17" s="8">
        <f t="shared" si="2"/>
        <v>1980</v>
      </c>
      <c r="J17" s="9">
        <f t="shared" si="3"/>
        <v>11991.172839506173</v>
      </c>
      <c r="K17" s="9">
        <f t="shared" si="7"/>
        <v>321.01466049382725</v>
      </c>
    </row>
    <row r="18" spans="3:11" x14ac:dyDescent="0.35">
      <c r="C18" s="6">
        <f t="shared" si="4"/>
        <v>46935</v>
      </c>
      <c r="D18" s="7" t="b">
        <v>1</v>
      </c>
      <c r="E18" s="7">
        <f t="shared" si="5"/>
        <v>10</v>
      </c>
      <c r="F18" s="8">
        <f t="shared" si="1"/>
        <v>5</v>
      </c>
      <c r="G18" s="14">
        <v>10000</v>
      </c>
      <c r="H18" s="8">
        <f t="shared" si="6"/>
        <v>370</v>
      </c>
      <c r="I18" s="8">
        <f t="shared" si="2"/>
        <v>2350</v>
      </c>
      <c r="J18" s="9">
        <f t="shared" si="3"/>
        <v>12350</v>
      </c>
      <c r="K18" s="9">
        <f t="shared" si="7"/>
        <v>358.82716049382725</v>
      </c>
    </row>
    <row r="22" spans="3:11" x14ac:dyDescent="0.35">
      <c r="F22" s="2"/>
      <c r="G22" s="3"/>
      <c r="H22" s="2"/>
      <c r="I22" s="4"/>
      <c r="K22" s="3">
        <f>K14-K13</f>
        <v>61.25</v>
      </c>
    </row>
    <row r="23" spans="3:11" x14ac:dyDescent="0.35">
      <c r="F23" s="3">
        <f>F14-F13</f>
        <v>-20</v>
      </c>
      <c r="G23" s="3"/>
      <c r="H23" s="3">
        <f>H14-H13</f>
        <v>30</v>
      </c>
      <c r="I23" s="4"/>
      <c r="K23" s="3">
        <f t="shared" ref="K23:K26" si="8">K15-K14</f>
        <v>50</v>
      </c>
    </row>
    <row r="24" spans="3:11" x14ac:dyDescent="0.35">
      <c r="F24" s="3">
        <f t="shared" ref="F24:H27" si="9">F15-F14</f>
        <v>-13.888888888888886</v>
      </c>
      <c r="G24" s="3"/>
      <c r="H24" s="3">
        <f t="shared" si="9"/>
        <v>30</v>
      </c>
      <c r="I24" s="4"/>
      <c r="K24" s="3">
        <f t="shared" si="8"/>
        <v>43.888888888888687</v>
      </c>
    </row>
    <row r="25" spans="3:11" x14ac:dyDescent="0.35">
      <c r="F25" s="3">
        <f t="shared" si="9"/>
        <v>-10.204081632653061</v>
      </c>
      <c r="G25" s="3"/>
      <c r="H25" s="3">
        <f t="shared" si="9"/>
        <v>30</v>
      </c>
      <c r="I25" s="4"/>
      <c r="K25" s="3">
        <f t="shared" si="8"/>
        <v>40.20408163265347</v>
      </c>
    </row>
    <row r="26" spans="3:11" x14ac:dyDescent="0.35">
      <c r="F26" s="3">
        <f t="shared" si="9"/>
        <v>-7.8125</v>
      </c>
      <c r="G26" s="3"/>
      <c r="H26" s="3">
        <f t="shared" si="9"/>
        <v>30</v>
      </c>
      <c r="I26" s="4"/>
      <c r="K26" s="3">
        <f t="shared" si="8"/>
        <v>37.8125</v>
      </c>
    </row>
    <row r="27" spans="3:11" x14ac:dyDescent="0.35">
      <c r="F27" s="3">
        <f t="shared" si="9"/>
        <v>-6.1728395061728385</v>
      </c>
      <c r="G27" s="3"/>
      <c r="H27" s="3">
        <f t="shared" si="9"/>
        <v>30</v>
      </c>
      <c r="I27" s="4"/>
    </row>
    <row r="28" spans="3:11" x14ac:dyDescent="0.35">
      <c r="F28" s="2"/>
      <c r="G28" s="3"/>
      <c r="I28" s="4"/>
    </row>
    <row r="29" spans="3:11" x14ac:dyDescent="0.35">
      <c r="F29" s="2"/>
      <c r="G29" s="3"/>
      <c r="I29" s="4"/>
    </row>
    <row r="30" spans="3:11" x14ac:dyDescent="0.35">
      <c r="F30" s="2"/>
      <c r="G30" s="3"/>
      <c r="I30" s="4"/>
    </row>
  </sheetData>
  <conditionalFormatting sqref="A1:XFD4 A5:D7 I5:XFD7 E6:H7 A8:XFD1048576">
    <cfRule type="expression" dxfId="3" priority="1">
      <formula>AND(A1&lt;&gt;"",A1=FALSE)</formula>
    </cfRule>
    <cfRule type="expression" dxfId="2" priority="2">
      <formula>A1=TRUE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CD72-AA31-4255-A339-5AA9144D2109}">
  <sheetPr codeName="Sheet2"/>
  <dimension ref="D3:N47"/>
  <sheetViews>
    <sheetView showGridLines="0" topLeftCell="A10" workbookViewId="0">
      <selection activeCell="F30" sqref="F30"/>
    </sheetView>
  </sheetViews>
  <sheetFormatPr defaultRowHeight="14.5" outlineLevelRow="1" outlineLevelCol="1" x14ac:dyDescent="0.35"/>
  <cols>
    <col min="1" max="3" width="1.54296875" customWidth="1"/>
    <col min="4" max="5" width="11.08984375" customWidth="1"/>
    <col min="6" max="6" width="11.1796875" bestFit="1" customWidth="1"/>
    <col min="7" max="7" width="11.1796875" hidden="1" customWidth="1" outlineLevel="1"/>
    <col min="8" max="8" width="12.1796875" bestFit="1" customWidth="1" collapsed="1"/>
    <col min="9" max="9" width="12.1796875" customWidth="1"/>
    <col min="10" max="10" width="11.1796875" customWidth="1"/>
    <col min="11" max="11" width="12.26953125" customWidth="1"/>
    <col min="12" max="12" width="11.90625" customWidth="1"/>
    <col min="13" max="13" width="12.6328125" customWidth="1"/>
    <col min="14" max="14" width="11.81640625" customWidth="1"/>
  </cols>
  <sheetData>
    <row r="3" spans="4:14" x14ac:dyDescent="0.35">
      <c r="H3" s="20" t="s">
        <v>32</v>
      </c>
      <c r="I3" s="21"/>
      <c r="J3" s="20" t="s">
        <v>34</v>
      </c>
      <c r="K3" s="32"/>
      <c r="L3" s="21"/>
      <c r="M3" s="20" t="s">
        <v>37</v>
      </c>
      <c r="N3" s="21"/>
    </row>
    <row r="4" spans="4:14" ht="43.5" x14ac:dyDescent="0.35">
      <c r="D4" s="5" t="s">
        <v>21</v>
      </c>
      <c r="E4" s="5" t="s">
        <v>23</v>
      </c>
      <c r="F4" s="5" t="s">
        <v>24</v>
      </c>
      <c r="G4" s="5" t="s">
        <v>22</v>
      </c>
      <c r="H4" s="15" t="s">
        <v>33</v>
      </c>
      <c r="I4" s="16" t="s">
        <v>31</v>
      </c>
      <c r="J4" s="15" t="s">
        <v>25</v>
      </c>
      <c r="K4" s="5" t="s">
        <v>38</v>
      </c>
      <c r="L4" s="16" t="s">
        <v>15</v>
      </c>
      <c r="M4" s="15" t="s">
        <v>35</v>
      </c>
      <c r="N4" s="16" t="s">
        <v>36</v>
      </c>
    </row>
    <row r="5" spans="4:14" hidden="1" outlineLevel="1" x14ac:dyDescent="0.35">
      <c r="E5" s="2">
        <v>100</v>
      </c>
      <c r="H5" s="17"/>
      <c r="I5" s="18"/>
      <c r="J5" s="17"/>
      <c r="K5" s="27"/>
      <c r="L5" s="18"/>
      <c r="M5" s="17"/>
      <c r="N5" s="18"/>
    </row>
    <row r="6" spans="4:14" hidden="1" outlineLevel="1" x14ac:dyDescent="0.35">
      <c r="H6" s="17"/>
      <c r="I6" s="18"/>
      <c r="J6" s="17"/>
      <c r="L6" s="18"/>
      <c r="M6" s="17"/>
      <c r="N6" s="18"/>
    </row>
    <row r="7" spans="4:14" hidden="1" outlineLevel="1" x14ac:dyDescent="0.35">
      <c r="H7" s="17"/>
      <c r="I7" s="18"/>
      <c r="J7" s="17"/>
      <c r="L7" s="18"/>
      <c r="M7" s="17"/>
      <c r="N7" s="18"/>
    </row>
    <row r="8" spans="4:14" hidden="1" outlineLevel="1" collapsed="1" x14ac:dyDescent="0.35">
      <c r="D8" s="10">
        <v>1</v>
      </c>
      <c r="E8" s="2">
        <f>$E$5</f>
        <v>100</v>
      </c>
      <c r="F8" s="4">
        <f>D8*E8*8760</f>
        <v>876000</v>
      </c>
      <c r="G8" s="4"/>
      <c r="H8" s="22">
        <v>15000000</v>
      </c>
      <c r="I8" s="23"/>
      <c r="J8" s="28">
        <v>50</v>
      </c>
      <c r="K8" s="4"/>
      <c r="L8" s="24">
        <f>K8+L7</f>
        <v>0</v>
      </c>
      <c r="M8" s="31">
        <f>L8+I8</f>
        <v>0</v>
      </c>
      <c r="N8" s="18"/>
    </row>
    <row r="9" spans="4:14" collapsed="1" x14ac:dyDescent="0.35">
      <c r="D9" s="10">
        <v>0.98</v>
      </c>
      <c r="E9" s="2">
        <f t="shared" ref="E9:E18" si="0">$E$5</f>
        <v>100</v>
      </c>
      <c r="F9" s="4">
        <f t="shared" ref="F9:F18" si="1">D9*E9*8760</f>
        <v>858480</v>
      </c>
      <c r="G9" s="4"/>
      <c r="H9" s="22">
        <f>H8</f>
        <v>15000000</v>
      </c>
      <c r="I9" s="24"/>
      <c r="J9" s="28">
        <v>50</v>
      </c>
      <c r="K9" s="4">
        <f t="shared" ref="K9:K18" si="2">(F8-F9)*J9</f>
        <v>876000</v>
      </c>
      <c r="L9" s="24">
        <f t="shared" ref="L9:L18" si="3">K9+L8</f>
        <v>876000</v>
      </c>
      <c r="M9" s="22">
        <f t="shared" ref="M9:M18" si="4">H9+L9</f>
        <v>15876000</v>
      </c>
      <c r="N9" s="18"/>
    </row>
    <row r="10" spans="4:14" x14ac:dyDescent="0.35">
      <c r="D10" s="10">
        <v>0.96</v>
      </c>
      <c r="E10" s="2">
        <f t="shared" si="0"/>
        <v>100</v>
      </c>
      <c r="F10" s="4">
        <f t="shared" si="1"/>
        <v>840960</v>
      </c>
      <c r="G10" s="4">
        <v>2000000</v>
      </c>
      <c r="H10" s="22">
        <f>H9-G10</f>
        <v>13000000</v>
      </c>
      <c r="I10" s="24">
        <f>H9-H10</f>
        <v>2000000</v>
      </c>
      <c r="J10" s="28">
        <v>50</v>
      </c>
      <c r="K10" s="4">
        <f t="shared" si="2"/>
        <v>876000</v>
      </c>
      <c r="L10" s="24">
        <f t="shared" si="3"/>
        <v>1752000</v>
      </c>
      <c r="M10" s="22">
        <f t="shared" si="4"/>
        <v>14752000</v>
      </c>
      <c r="N10" s="24">
        <f>M10-M9</f>
        <v>-1124000</v>
      </c>
    </row>
    <row r="11" spans="4:14" x14ac:dyDescent="0.35">
      <c r="D11" s="10">
        <v>0.94</v>
      </c>
      <c r="E11" s="2">
        <f t="shared" si="0"/>
        <v>100</v>
      </c>
      <c r="F11" s="4">
        <f t="shared" si="1"/>
        <v>823440</v>
      </c>
      <c r="G11" s="4">
        <v>2000000</v>
      </c>
      <c r="H11" s="22">
        <f t="shared" ref="H11:H18" si="5">H10-G11</f>
        <v>11000000</v>
      </c>
      <c r="I11" s="24">
        <f t="shared" ref="I11:I18" si="6">H10-H11</f>
        <v>2000000</v>
      </c>
      <c r="J11" s="28">
        <f>J10+4</f>
        <v>54</v>
      </c>
      <c r="K11" s="4">
        <f t="shared" si="2"/>
        <v>946080</v>
      </c>
      <c r="L11" s="24">
        <f t="shared" si="3"/>
        <v>2698080</v>
      </c>
      <c r="M11" s="22">
        <f t="shared" si="4"/>
        <v>13698080</v>
      </c>
      <c r="N11" s="24">
        <f t="shared" ref="N11:N18" si="7">M11-M10</f>
        <v>-1053920</v>
      </c>
    </row>
    <row r="12" spans="4:14" x14ac:dyDescent="0.35">
      <c r="D12" s="10">
        <v>0.92</v>
      </c>
      <c r="E12" s="2">
        <f t="shared" si="0"/>
        <v>100</v>
      </c>
      <c r="F12" s="4">
        <f t="shared" si="1"/>
        <v>805920</v>
      </c>
      <c r="G12" s="4">
        <v>1500000</v>
      </c>
      <c r="H12" s="22">
        <f t="shared" si="5"/>
        <v>9500000</v>
      </c>
      <c r="I12" s="24">
        <f t="shared" si="6"/>
        <v>1500000</v>
      </c>
      <c r="J12" s="28">
        <f t="shared" ref="J12:J13" si="8">J11+4</f>
        <v>58</v>
      </c>
      <c r="K12" s="4">
        <f t="shared" si="2"/>
        <v>1016160</v>
      </c>
      <c r="L12" s="24">
        <f t="shared" si="3"/>
        <v>3714240</v>
      </c>
      <c r="M12" s="22">
        <f t="shared" si="4"/>
        <v>13214240</v>
      </c>
      <c r="N12" s="24">
        <f t="shared" si="7"/>
        <v>-483840</v>
      </c>
    </row>
    <row r="13" spans="4:14" x14ac:dyDescent="0.35">
      <c r="D13" s="10">
        <v>0.9</v>
      </c>
      <c r="E13" s="2">
        <f t="shared" si="0"/>
        <v>100</v>
      </c>
      <c r="F13" s="4">
        <f t="shared" si="1"/>
        <v>788400</v>
      </c>
      <c r="G13" s="4">
        <v>1500000</v>
      </c>
      <c r="H13" s="22">
        <f t="shared" si="5"/>
        <v>8000000</v>
      </c>
      <c r="I13" s="24">
        <f t="shared" si="6"/>
        <v>1500000</v>
      </c>
      <c r="J13" s="28">
        <f t="shared" si="8"/>
        <v>62</v>
      </c>
      <c r="K13" s="4">
        <f t="shared" si="2"/>
        <v>1086240</v>
      </c>
      <c r="L13" s="24">
        <f t="shared" si="3"/>
        <v>4800480</v>
      </c>
      <c r="M13" s="22">
        <f t="shared" si="4"/>
        <v>12800480</v>
      </c>
      <c r="N13" s="24">
        <f t="shared" si="7"/>
        <v>-413760</v>
      </c>
    </row>
    <row r="14" spans="4:14" x14ac:dyDescent="0.35">
      <c r="D14" s="10">
        <v>0.88</v>
      </c>
      <c r="E14" s="2">
        <f t="shared" si="0"/>
        <v>100</v>
      </c>
      <c r="F14" s="4">
        <f t="shared" si="1"/>
        <v>770880</v>
      </c>
      <c r="G14" s="4">
        <v>1000000</v>
      </c>
      <c r="H14" s="22">
        <f t="shared" si="5"/>
        <v>7000000</v>
      </c>
      <c r="I14" s="24">
        <f t="shared" si="6"/>
        <v>1000000</v>
      </c>
      <c r="J14" s="28">
        <f>J13+4</f>
        <v>66</v>
      </c>
      <c r="K14" s="4">
        <f t="shared" si="2"/>
        <v>1156320</v>
      </c>
      <c r="L14" s="24">
        <f t="shared" si="3"/>
        <v>5956800</v>
      </c>
      <c r="M14" s="22">
        <f t="shared" si="4"/>
        <v>12956800</v>
      </c>
      <c r="N14" s="24">
        <f t="shared" si="7"/>
        <v>156320</v>
      </c>
    </row>
    <row r="15" spans="4:14" x14ac:dyDescent="0.35">
      <c r="D15" s="10">
        <v>0.86</v>
      </c>
      <c r="E15" s="2">
        <f t="shared" si="0"/>
        <v>100</v>
      </c>
      <c r="F15" s="4">
        <f t="shared" si="1"/>
        <v>753360</v>
      </c>
      <c r="G15" s="4">
        <v>500000</v>
      </c>
      <c r="H15" s="22">
        <f t="shared" si="5"/>
        <v>6500000</v>
      </c>
      <c r="I15" s="24">
        <f t="shared" si="6"/>
        <v>500000</v>
      </c>
      <c r="J15" s="28">
        <f t="shared" ref="J15:J16" si="9">J14+4</f>
        <v>70</v>
      </c>
      <c r="K15" s="4">
        <f t="shared" si="2"/>
        <v>1226400</v>
      </c>
      <c r="L15" s="24">
        <f t="shared" si="3"/>
        <v>7183200</v>
      </c>
      <c r="M15" s="22">
        <f t="shared" si="4"/>
        <v>13683200</v>
      </c>
      <c r="N15" s="24">
        <f t="shared" si="7"/>
        <v>726400</v>
      </c>
    </row>
    <row r="16" spans="4:14" x14ac:dyDescent="0.35">
      <c r="D16" s="10">
        <v>0.84</v>
      </c>
      <c r="E16" s="2">
        <f t="shared" si="0"/>
        <v>100</v>
      </c>
      <c r="F16" s="4">
        <f t="shared" si="1"/>
        <v>735840</v>
      </c>
      <c r="G16" s="4">
        <v>500000</v>
      </c>
      <c r="H16" s="22">
        <f t="shared" si="5"/>
        <v>6000000</v>
      </c>
      <c r="I16" s="24">
        <f t="shared" si="6"/>
        <v>500000</v>
      </c>
      <c r="J16" s="28">
        <f t="shared" si="9"/>
        <v>74</v>
      </c>
      <c r="K16" s="4">
        <f t="shared" si="2"/>
        <v>1296480</v>
      </c>
      <c r="L16" s="24">
        <f t="shared" si="3"/>
        <v>8479680</v>
      </c>
      <c r="M16" s="22">
        <f t="shared" si="4"/>
        <v>14479680</v>
      </c>
      <c r="N16" s="24">
        <f t="shared" si="7"/>
        <v>796480</v>
      </c>
    </row>
    <row r="17" spans="4:14" x14ac:dyDescent="0.35">
      <c r="D17" s="10">
        <v>0.82000000000000006</v>
      </c>
      <c r="E17" s="2">
        <f t="shared" si="0"/>
        <v>100</v>
      </c>
      <c r="F17" s="4">
        <f t="shared" si="1"/>
        <v>718320</v>
      </c>
      <c r="G17" s="4">
        <v>500000</v>
      </c>
      <c r="H17" s="22">
        <f t="shared" si="5"/>
        <v>5500000</v>
      </c>
      <c r="I17" s="24">
        <f t="shared" si="6"/>
        <v>500000</v>
      </c>
      <c r="J17" s="28">
        <f t="shared" ref="J17:J18" si="10">J16+10</f>
        <v>84</v>
      </c>
      <c r="K17" s="4">
        <f t="shared" si="2"/>
        <v>1471680</v>
      </c>
      <c r="L17" s="24">
        <f t="shared" si="3"/>
        <v>9951360</v>
      </c>
      <c r="M17" s="22">
        <f t="shared" si="4"/>
        <v>15451360</v>
      </c>
      <c r="N17" s="24">
        <f t="shared" si="7"/>
        <v>971680</v>
      </c>
    </row>
    <row r="18" spans="4:14" x14ac:dyDescent="0.35">
      <c r="D18" s="10">
        <v>0.8</v>
      </c>
      <c r="E18" s="2">
        <f t="shared" si="0"/>
        <v>100</v>
      </c>
      <c r="F18" s="4">
        <f t="shared" si="1"/>
        <v>700800</v>
      </c>
      <c r="G18" s="4">
        <v>500000</v>
      </c>
      <c r="H18" s="25">
        <f t="shared" si="5"/>
        <v>5000000</v>
      </c>
      <c r="I18" s="26">
        <f t="shared" si="6"/>
        <v>500000</v>
      </c>
      <c r="J18" s="29">
        <f t="shared" si="10"/>
        <v>94</v>
      </c>
      <c r="K18" s="30">
        <f t="shared" si="2"/>
        <v>1646880</v>
      </c>
      <c r="L18" s="26">
        <f t="shared" si="3"/>
        <v>11598240</v>
      </c>
      <c r="M18" s="25">
        <f t="shared" si="4"/>
        <v>16598240</v>
      </c>
      <c r="N18" s="26">
        <f t="shared" si="7"/>
        <v>1146880</v>
      </c>
    </row>
    <row r="20" spans="4:14" x14ac:dyDescent="0.35">
      <c r="E20" t="s">
        <v>26</v>
      </c>
    </row>
    <row r="21" spans="4:14" x14ac:dyDescent="0.35">
      <c r="D21" s="10">
        <f t="shared" ref="D21:D30" si="11">D9</f>
        <v>0.98</v>
      </c>
      <c r="E21" s="4">
        <f t="shared" ref="E21:E30" si="12">M9</f>
        <v>15876000</v>
      </c>
    </row>
    <row r="22" spans="4:14" x14ac:dyDescent="0.35">
      <c r="D22" s="10">
        <f t="shared" si="11"/>
        <v>0.96</v>
      </c>
      <c r="E22" s="4">
        <f t="shared" si="12"/>
        <v>14752000</v>
      </c>
      <c r="I22" s="2"/>
      <c r="J22" s="3"/>
      <c r="L22" s="4"/>
    </row>
    <row r="23" spans="4:14" x14ac:dyDescent="0.35">
      <c r="D23" s="10">
        <f t="shared" si="11"/>
        <v>0.94</v>
      </c>
      <c r="E23" s="4">
        <f t="shared" si="12"/>
        <v>13698080</v>
      </c>
      <c r="I23" s="2"/>
      <c r="J23" s="3"/>
      <c r="L23" s="4"/>
    </row>
    <row r="24" spans="4:14" x14ac:dyDescent="0.35">
      <c r="D24" s="10">
        <f t="shared" si="11"/>
        <v>0.92</v>
      </c>
      <c r="E24" s="4">
        <f t="shared" si="12"/>
        <v>13214240</v>
      </c>
      <c r="I24" s="2"/>
      <c r="J24" s="3"/>
      <c r="L24" s="4"/>
    </row>
    <row r="25" spans="4:14" x14ac:dyDescent="0.35">
      <c r="D25" s="10">
        <f t="shared" si="11"/>
        <v>0.9</v>
      </c>
      <c r="E25" s="4">
        <f t="shared" si="12"/>
        <v>12800480</v>
      </c>
      <c r="I25" s="2"/>
      <c r="J25" s="3"/>
      <c r="L25" s="4"/>
    </row>
    <row r="26" spans="4:14" x14ac:dyDescent="0.35">
      <c r="D26" s="10">
        <f t="shared" si="11"/>
        <v>0.88</v>
      </c>
      <c r="E26" s="4">
        <f t="shared" si="12"/>
        <v>12956800</v>
      </c>
      <c r="I26" s="2"/>
      <c r="J26" s="3"/>
      <c r="L26" s="4"/>
    </row>
    <row r="27" spans="4:14" x14ac:dyDescent="0.35">
      <c r="D27" s="10">
        <f t="shared" si="11"/>
        <v>0.86</v>
      </c>
      <c r="E27" s="4">
        <f t="shared" si="12"/>
        <v>13683200</v>
      </c>
      <c r="I27" s="2"/>
      <c r="J27" s="3"/>
      <c r="L27" s="4"/>
    </row>
    <row r="28" spans="4:14" x14ac:dyDescent="0.35">
      <c r="D28" s="10">
        <f t="shared" si="11"/>
        <v>0.84</v>
      </c>
      <c r="E28" s="4">
        <f t="shared" si="12"/>
        <v>14479680</v>
      </c>
      <c r="I28" s="2"/>
      <c r="J28" s="3"/>
      <c r="L28" s="4"/>
    </row>
    <row r="29" spans="4:14" x14ac:dyDescent="0.35">
      <c r="D29" s="10">
        <f t="shared" si="11"/>
        <v>0.82000000000000006</v>
      </c>
      <c r="E29" s="4">
        <f t="shared" si="12"/>
        <v>15451360</v>
      </c>
      <c r="I29" s="2"/>
      <c r="J29" s="3"/>
      <c r="L29" s="4"/>
    </row>
    <row r="30" spans="4:14" x14ac:dyDescent="0.35">
      <c r="D30" s="10">
        <f t="shared" si="11"/>
        <v>0.8</v>
      </c>
      <c r="E30" s="4">
        <f t="shared" si="12"/>
        <v>16598240</v>
      </c>
      <c r="I30" s="2"/>
      <c r="J30" s="3"/>
      <c r="L30" s="4"/>
    </row>
    <row r="36" spans="4:7" x14ac:dyDescent="0.35">
      <c r="E36" t="str">
        <f>I4</f>
        <v>Change in Investor Cost</v>
      </c>
      <c r="F36" t="str">
        <f>K4</f>
        <v>Change in Off-Taker Cost</v>
      </c>
    </row>
    <row r="37" spans="4:7" x14ac:dyDescent="0.35">
      <c r="D37" s="10">
        <f t="shared" ref="D37:D46" si="13">D21</f>
        <v>0.98</v>
      </c>
      <c r="E37" s="4">
        <f>E38</f>
        <v>2000000</v>
      </c>
      <c r="F37" s="4">
        <f t="shared" ref="F37:F46" si="14">K9</f>
        <v>876000</v>
      </c>
    </row>
    <row r="38" spans="4:7" x14ac:dyDescent="0.35">
      <c r="D38" s="10">
        <f t="shared" si="13"/>
        <v>0.96</v>
      </c>
      <c r="E38" s="4">
        <f t="shared" ref="E38:E46" si="15">I10</f>
        <v>2000000</v>
      </c>
      <c r="F38" s="4">
        <f t="shared" si="14"/>
        <v>876000</v>
      </c>
    </row>
    <row r="39" spans="4:7" x14ac:dyDescent="0.35">
      <c r="D39" s="10">
        <f t="shared" si="13"/>
        <v>0.94</v>
      </c>
      <c r="E39" s="4">
        <f t="shared" si="15"/>
        <v>2000000</v>
      </c>
      <c r="F39" s="4">
        <f t="shared" si="14"/>
        <v>946080</v>
      </c>
    </row>
    <row r="40" spans="4:7" x14ac:dyDescent="0.35">
      <c r="D40" s="10">
        <f t="shared" si="13"/>
        <v>0.92</v>
      </c>
      <c r="E40" s="4">
        <f t="shared" si="15"/>
        <v>1500000</v>
      </c>
      <c r="F40" s="4">
        <f t="shared" si="14"/>
        <v>1016160</v>
      </c>
    </row>
    <row r="41" spans="4:7" x14ac:dyDescent="0.35">
      <c r="D41" s="10">
        <f t="shared" si="13"/>
        <v>0.9</v>
      </c>
      <c r="E41" s="4">
        <f t="shared" si="15"/>
        <v>1500000</v>
      </c>
      <c r="F41" s="4">
        <f t="shared" si="14"/>
        <v>1086240</v>
      </c>
    </row>
    <row r="42" spans="4:7" x14ac:dyDescent="0.35">
      <c r="D42" s="10">
        <f t="shared" si="13"/>
        <v>0.88</v>
      </c>
      <c r="E42" s="4">
        <f t="shared" si="15"/>
        <v>1000000</v>
      </c>
      <c r="F42" s="4">
        <f t="shared" si="14"/>
        <v>1156320</v>
      </c>
    </row>
    <row r="43" spans="4:7" x14ac:dyDescent="0.35">
      <c r="D43" s="10">
        <f t="shared" si="13"/>
        <v>0.86</v>
      </c>
      <c r="E43" s="4">
        <f t="shared" si="15"/>
        <v>500000</v>
      </c>
      <c r="F43" s="4">
        <f t="shared" si="14"/>
        <v>1226400</v>
      </c>
    </row>
    <row r="44" spans="4:7" x14ac:dyDescent="0.35">
      <c r="D44" s="10">
        <f t="shared" si="13"/>
        <v>0.84</v>
      </c>
      <c r="E44" s="4">
        <f t="shared" si="15"/>
        <v>500000</v>
      </c>
      <c r="F44" s="4">
        <f t="shared" si="14"/>
        <v>1296480</v>
      </c>
    </row>
    <row r="45" spans="4:7" x14ac:dyDescent="0.35">
      <c r="D45" s="10">
        <f t="shared" si="13"/>
        <v>0.82000000000000006</v>
      </c>
      <c r="E45" s="4">
        <f t="shared" si="15"/>
        <v>500000</v>
      </c>
      <c r="F45" s="4">
        <f t="shared" si="14"/>
        <v>1471680</v>
      </c>
    </row>
    <row r="46" spans="4:7" x14ac:dyDescent="0.35">
      <c r="D46" s="10">
        <f t="shared" si="13"/>
        <v>0.8</v>
      </c>
      <c r="E46" s="4">
        <f t="shared" si="15"/>
        <v>500000</v>
      </c>
      <c r="F46" s="4">
        <f t="shared" si="14"/>
        <v>1646880</v>
      </c>
    </row>
    <row r="47" spans="4:7" x14ac:dyDescent="0.35">
      <c r="G47" s="10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9D090-63DA-4A72-BF29-9F498A41E4FF}">
  <dimension ref="D3:O47"/>
  <sheetViews>
    <sheetView showGridLines="0" workbookViewId="0">
      <selection activeCell="I23" sqref="I23"/>
    </sheetView>
  </sheetViews>
  <sheetFormatPr defaultRowHeight="14.5" outlineLevelRow="1" outlineLevelCol="1" x14ac:dyDescent="0.35"/>
  <cols>
    <col min="1" max="3" width="1.54296875" customWidth="1"/>
    <col min="4" max="6" width="11.08984375" customWidth="1"/>
    <col min="7" max="7" width="11.1796875" bestFit="1" customWidth="1"/>
    <col min="8" max="8" width="11.1796875" hidden="1" customWidth="1" outlineLevel="1"/>
    <col min="9" max="9" width="12.1796875" bestFit="1" customWidth="1" collapsed="1"/>
    <col min="10" max="10" width="12.1796875" customWidth="1"/>
    <col min="11" max="11" width="11.1796875" customWidth="1"/>
    <col min="12" max="12" width="12.26953125" customWidth="1"/>
    <col min="13" max="13" width="11.90625" customWidth="1"/>
    <col min="14" max="14" width="12.6328125" customWidth="1"/>
    <col min="15" max="15" width="11.81640625" customWidth="1"/>
  </cols>
  <sheetData>
    <row r="3" spans="4:15" x14ac:dyDescent="0.35">
      <c r="I3" s="20" t="s">
        <v>32</v>
      </c>
      <c r="J3" s="21"/>
      <c r="K3" s="20" t="s">
        <v>34</v>
      </c>
      <c r="L3" s="32"/>
      <c r="M3" s="21"/>
      <c r="N3" s="20" t="s">
        <v>37</v>
      </c>
      <c r="O3" s="21"/>
    </row>
    <row r="4" spans="4:15" ht="43.5" x14ac:dyDescent="0.35">
      <c r="D4" s="5" t="s">
        <v>83</v>
      </c>
      <c r="E4" s="5" t="s">
        <v>84</v>
      </c>
      <c r="F4" s="5" t="s">
        <v>23</v>
      </c>
      <c r="G4" s="5" t="s">
        <v>85</v>
      </c>
      <c r="H4" s="5" t="s">
        <v>22</v>
      </c>
      <c r="I4" s="15" t="s">
        <v>33</v>
      </c>
      <c r="J4" s="16" t="s">
        <v>31</v>
      </c>
      <c r="K4" s="15" t="s">
        <v>25</v>
      </c>
      <c r="L4" s="5" t="s">
        <v>38</v>
      </c>
      <c r="M4" s="16" t="s">
        <v>15</v>
      </c>
      <c r="N4" s="15" t="s">
        <v>35</v>
      </c>
      <c r="O4" s="16" t="s">
        <v>36</v>
      </c>
    </row>
    <row r="5" spans="4:15" hidden="1" outlineLevel="1" x14ac:dyDescent="0.35">
      <c r="F5" s="2">
        <v>100</v>
      </c>
      <c r="I5" s="17"/>
      <c r="J5" s="18"/>
      <c r="K5" s="17"/>
      <c r="L5" s="27"/>
      <c r="M5" s="18"/>
      <c r="N5" s="17"/>
      <c r="O5" s="18"/>
    </row>
    <row r="6" spans="4:15" hidden="1" outlineLevel="1" x14ac:dyDescent="0.35">
      <c r="I6" s="17"/>
      <c r="J6" s="18"/>
      <c r="K6" s="17"/>
      <c r="M6" s="18"/>
      <c r="N6" s="17"/>
      <c r="O6" s="18"/>
    </row>
    <row r="7" spans="4:15" hidden="1" outlineLevel="1" x14ac:dyDescent="0.35">
      <c r="I7" s="17"/>
      <c r="J7" s="18"/>
      <c r="K7" s="17"/>
      <c r="M7" s="18"/>
      <c r="N7" s="17"/>
      <c r="O7" s="18"/>
    </row>
    <row r="8" spans="4:15" hidden="1" outlineLevel="1" collapsed="1" x14ac:dyDescent="0.35">
      <c r="D8" s="10">
        <v>1</v>
      </c>
      <c r="E8" s="10"/>
      <c r="F8" s="2">
        <f>$F$5</f>
        <v>100</v>
      </c>
      <c r="G8" s="4">
        <f>D8*F8*8760</f>
        <v>876000</v>
      </c>
      <c r="H8" s="4"/>
      <c r="I8" s="22">
        <v>15000000</v>
      </c>
      <c r="J8" s="23"/>
      <c r="K8" s="28">
        <v>50</v>
      </c>
      <c r="L8" s="4"/>
      <c r="M8" s="24">
        <f>L8+M7</f>
        <v>0</v>
      </c>
      <c r="N8" s="31">
        <f>M8+J8</f>
        <v>0</v>
      </c>
      <c r="O8" s="18"/>
    </row>
    <row r="9" spans="4:15" collapsed="1" x14ac:dyDescent="0.35">
      <c r="D9" s="68">
        <v>3</v>
      </c>
      <c r="E9" s="68">
        <f>1/D9</f>
        <v>0.33333333333333331</v>
      </c>
      <c r="F9" s="2">
        <f t="shared" ref="F9:F18" si="0">$F$5</f>
        <v>100</v>
      </c>
      <c r="G9" s="4">
        <f>F9*0.25*8760</f>
        <v>219000</v>
      </c>
      <c r="H9" s="4"/>
      <c r="I9" s="22">
        <f>I8</f>
        <v>15000000</v>
      </c>
      <c r="J9" s="24"/>
      <c r="K9" s="28">
        <v>50</v>
      </c>
      <c r="L9" s="4">
        <f t="shared" ref="L9:L18" si="1">(G8-G9)*K9</f>
        <v>32850000</v>
      </c>
      <c r="M9" s="24">
        <f t="shared" ref="M9:M18" si="2">L9+M8</f>
        <v>32850000</v>
      </c>
      <c r="N9" s="22">
        <f t="shared" ref="N9:N18" si="3">I9+M9</f>
        <v>47850000</v>
      </c>
      <c r="O9" s="18"/>
    </row>
    <row r="10" spans="4:15" x14ac:dyDescent="0.35">
      <c r="D10" s="68">
        <v>2</v>
      </c>
      <c r="E10" s="68">
        <f>1/D10</f>
        <v>0.5</v>
      </c>
      <c r="F10" s="2">
        <f t="shared" si="0"/>
        <v>100</v>
      </c>
      <c r="G10" s="4">
        <f>G9*(E9/E10)</f>
        <v>146000</v>
      </c>
      <c r="H10" s="4">
        <v>2000000</v>
      </c>
      <c r="I10" s="22">
        <f>I9-H10</f>
        <v>13000000</v>
      </c>
      <c r="J10" s="24">
        <f>I9-I10</f>
        <v>2000000</v>
      </c>
      <c r="K10" s="28">
        <v>50</v>
      </c>
      <c r="L10" s="4">
        <f t="shared" si="1"/>
        <v>3650000</v>
      </c>
      <c r="M10" s="24">
        <f t="shared" si="2"/>
        <v>36500000</v>
      </c>
      <c r="N10" s="22">
        <f t="shared" si="3"/>
        <v>49500000</v>
      </c>
      <c r="O10" s="24">
        <f>N10-N9</f>
        <v>1650000</v>
      </c>
    </row>
    <row r="11" spans="4:15" x14ac:dyDescent="0.35">
      <c r="D11" s="68">
        <v>1</v>
      </c>
      <c r="E11" s="68">
        <f>1/D11</f>
        <v>1</v>
      </c>
      <c r="F11" s="2">
        <f t="shared" si="0"/>
        <v>100</v>
      </c>
      <c r="G11" s="4">
        <f t="shared" ref="G11:G18" si="4">G10*(E10/E11)</f>
        <v>73000</v>
      </c>
      <c r="H11" s="4">
        <v>2000000</v>
      </c>
      <c r="I11" s="22">
        <f t="shared" ref="I11:I18" si="5">I10-H11</f>
        <v>11000000</v>
      </c>
      <c r="J11" s="24">
        <f t="shared" ref="J11:J18" si="6">I10-I11</f>
        <v>2000000</v>
      </c>
      <c r="K11" s="28">
        <f>K10+4</f>
        <v>54</v>
      </c>
      <c r="L11" s="4">
        <f t="shared" si="1"/>
        <v>3942000</v>
      </c>
      <c r="M11" s="24">
        <f t="shared" si="2"/>
        <v>40442000</v>
      </c>
      <c r="N11" s="22">
        <f t="shared" si="3"/>
        <v>51442000</v>
      </c>
      <c r="O11" s="24">
        <f t="shared" ref="O11:O18" si="7">N11-N10</f>
        <v>1942000</v>
      </c>
    </row>
    <row r="12" spans="4:15" x14ac:dyDescent="0.35">
      <c r="D12" s="68">
        <v>0.75</v>
      </c>
      <c r="E12" s="68">
        <f>1/D12</f>
        <v>1.3333333333333333</v>
      </c>
      <c r="F12" s="2">
        <f t="shared" si="0"/>
        <v>100</v>
      </c>
      <c r="G12" s="4">
        <f t="shared" si="4"/>
        <v>54750</v>
      </c>
      <c r="H12" s="4">
        <v>1500000</v>
      </c>
      <c r="I12" s="22">
        <f t="shared" si="5"/>
        <v>9500000</v>
      </c>
      <c r="J12" s="24">
        <f t="shared" si="6"/>
        <v>1500000</v>
      </c>
      <c r="K12" s="28">
        <f t="shared" ref="K12:K13" si="8">K11+4</f>
        <v>58</v>
      </c>
      <c r="L12" s="4">
        <f t="shared" si="1"/>
        <v>1058500</v>
      </c>
      <c r="M12" s="24">
        <f t="shared" si="2"/>
        <v>41500500</v>
      </c>
      <c r="N12" s="22">
        <f t="shared" si="3"/>
        <v>51000500</v>
      </c>
      <c r="O12" s="24">
        <f t="shared" si="7"/>
        <v>-441500</v>
      </c>
    </row>
    <row r="13" spans="4:15" x14ac:dyDescent="0.35">
      <c r="D13" s="68">
        <v>0.5</v>
      </c>
      <c r="E13" s="68">
        <f>1/D13</f>
        <v>2</v>
      </c>
      <c r="F13" s="2">
        <f t="shared" si="0"/>
        <v>100</v>
      </c>
      <c r="G13" s="4">
        <f t="shared" si="4"/>
        <v>36500</v>
      </c>
      <c r="H13" s="4">
        <v>1500000</v>
      </c>
      <c r="I13" s="22">
        <f t="shared" si="5"/>
        <v>8000000</v>
      </c>
      <c r="J13" s="24">
        <f t="shared" si="6"/>
        <v>1500000</v>
      </c>
      <c r="K13" s="28">
        <f t="shared" si="8"/>
        <v>62</v>
      </c>
      <c r="L13" s="4">
        <f t="shared" si="1"/>
        <v>1131500</v>
      </c>
      <c r="M13" s="24">
        <f t="shared" si="2"/>
        <v>42632000</v>
      </c>
      <c r="N13" s="22">
        <f t="shared" si="3"/>
        <v>50632000</v>
      </c>
      <c r="O13" s="24">
        <f t="shared" si="7"/>
        <v>-368500</v>
      </c>
    </row>
    <row r="14" spans="4:15" x14ac:dyDescent="0.35">
      <c r="D14" s="68">
        <f>1/3</f>
        <v>0.33333333333333331</v>
      </c>
      <c r="E14" s="68">
        <f t="shared" ref="E14:E18" si="9">1/D14</f>
        <v>3</v>
      </c>
      <c r="F14" s="2">
        <f t="shared" si="0"/>
        <v>100</v>
      </c>
      <c r="G14" s="4">
        <f t="shared" si="4"/>
        <v>24333.333333333332</v>
      </c>
      <c r="H14" s="4">
        <v>1000000</v>
      </c>
      <c r="I14" s="22">
        <f t="shared" si="5"/>
        <v>7000000</v>
      </c>
      <c r="J14" s="24">
        <f t="shared" si="6"/>
        <v>1000000</v>
      </c>
      <c r="K14" s="28">
        <f>K13+4</f>
        <v>66</v>
      </c>
      <c r="L14" s="4">
        <f t="shared" si="1"/>
        <v>803000.00000000012</v>
      </c>
      <c r="M14" s="24">
        <f t="shared" si="2"/>
        <v>43435000</v>
      </c>
      <c r="N14" s="22">
        <f t="shared" si="3"/>
        <v>50435000</v>
      </c>
      <c r="O14" s="24">
        <f t="shared" si="7"/>
        <v>-197000</v>
      </c>
    </row>
    <row r="15" spans="4:15" x14ac:dyDescent="0.35">
      <c r="D15" s="68">
        <v>0.25</v>
      </c>
      <c r="E15" s="68">
        <f t="shared" si="9"/>
        <v>4</v>
      </c>
      <c r="F15" s="2">
        <f t="shared" si="0"/>
        <v>100</v>
      </c>
      <c r="G15" s="4">
        <f t="shared" si="4"/>
        <v>18250</v>
      </c>
      <c r="H15" s="4">
        <v>500000</v>
      </c>
      <c r="I15" s="22">
        <f t="shared" si="5"/>
        <v>6500000</v>
      </c>
      <c r="J15" s="24">
        <f t="shared" si="6"/>
        <v>500000</v>
      </c>
      <c r="K15" s="28">
        <f t="shared" ref="K15:K16" si="10">K14+4</f>
        <v>70</v>
      </c>
      <c r="L15" s="4">
        <f t="shared" si="1"/>
        <v>425833.33333333326</v>
      </c>
      <c r="M15" s="24">
        <f t="shared" si="2"/>
        <v>43860833.333333336</v>
      </c>
      <c r="N15" s="22">
        <f t="shared" si="3"/>
        <v>50360833.333333336</v>
      </c>
      <c r="O15" s="24">
        <f t="shared" si="7"/>
        <v>-74166.666666664183</v>
      </c>
    </row>
    <row r="16" spans="4:15" x14ac:dyDescent="0.35">
      <c r="D16" s="68">
        <f>1/5</f>
        <v>0.2</v>
      </c>
      <c r="E16" s="68">
        <f t="shared" si="9"/>
        <v>5</v>
      </c>
      <c r="F16" s="2">
        <f t="shared" si="0"/>
        <v>100</v>
      </c>
      <c r="G16" s="4">
        <f t="shared" si="4"/>
        <v>14600</v>
      </c>
      <c r="H16" s="4">
        <v>500000</v>
      </c>
      <c r="I16" s="22">
        <f t="shared" si="5"/>
        <v>6000000</v>
      </c>
      <c r="J16" s="24">
        <f t="shared" si="6"/>
        <v>500000</v>
      </c>
      <c r="K16" s="28">
        <f t="shared" si="10"/>
        <v>74</v>
      </c>
      <c r="L16" s="4">
        <f t="shared" si="1"/>
        <v>270100</v>
      </c>
      <c r="M16" s="24">
        <f t="shared" si="2"/>
        <v>44130933.333333336</v>
      </c>
      <c r="N16" s="22">
        <f t="shared" si="3"/>
        <v>50130933.333333336</v>
      </c>
      <c r="O16" s="24">
        <f t="shared" si="7"/>
        <v>-229900</v>
      </c>
    </row>
    <row r="17" spans="4:15" x14ac:dyDescent="0.35">
      <c r="D17" s="68">
        <f>1/6</f>
        <v>0.16666666666666666</v>
      </c>
      <c r="E17" s="68">
        <f t="shared" si="9"/>
        <v>6</v>
      </c>
      <c r="F17" s="2">
        <f t="shared" si="0"/>
        <v>100</v>
      </c>
      <c r="G17" s="4">
        <f t="shared" si="4"/>
        <v>12166.666666666668</v>
      </c>
      <c r="H17" s="4">
        <v>500000</v>
      </c>
      <c r="I17" s="22">
        <f t="shared" si="5"/>
        <v>5500000</v>
      </c>
      <c r="J17" s="24">
        <f t="shared" si="6"/>
        <v>500000</v>
      </c>
      <c r="K17" s="28">
        <f t="shared" ref="K17:K18" si="11">K16+10</f>
        <v>84</v>
      </c>
      <c r="L17" s="4">
        <f t="shared" si="1"/>
        <v>204399.99999999988</v>
      </c>
      <c r="M17" s="24">
        <f t="shared" si="2"/>
        <v>44335333.333333336</v>
      </c>
      <c r="N17" s="22">
        <f t="shared" si="3"/>
        <v>49835333.333333336</v>
      </c>
      <c r="O17" s="24">
        <f t="shared" si="7"/>
        <v>-295600</v>
      </c>
    </row>
    <row r="18" spans="4:15" x14ac:dyDescent="0.35">
      <c r="D18" s="68">
        <f>1/7</f>
        <v>0.14285714285714285</v>
      </c>
      <c r="E18" s="68">
        <f t="shared" si="9"/>
        <v>7</v>
      </c>
      <c r="F18" s="2">
        <f t="shared" si="0"/>
        <v>100</v>
      </c>
      <c r="G18" s="4">
        <f t="shared" si="4"/>
        <v>10428.571428571429</v>
      </c>
      <c r="H18" s="4">
        <v>500000</v>
      </c>
      <c r="I18" s="25">
        <f t="shared" si="5"/>
        <v>5000000</v>
      </c>
      <c r="J18" s="26">
        <f t="shared" si="6"/>
        <v>500000</v>
      </c>
      <c r="K18" s="29">
        <f t="shared" si="11"/>
        <v>94</v>
      </c>
      <c r="L18" s="30">
        <f t="shared" si="1"/>
        <v>163380.95238095243</v>
      </c>
      <c r="M18" s="26">
        <f t="shared" si="2"/>
        <v>44498714.285714291</v>
      </c>
      <c r="N18" s="25">
        <f t="shared" si="3"/>
        <v>49498714.285714291</v>
      </c>
      <c r="O18" s="26">
        <f t="shared" si="7"/>
        <v>-336619.04761904478</v>
      </c>
    </row>
    <row r="20" spans="4:15" x14ac:dyDescent="0.35">
      <c r="F20" t="s">
        <v>26</v>
      </c>
    </row>
    <row r="21" spans="4:15" x14ac:dyDescent="0.35">
      <c r="D21" s="10">
        <f t="shared" ref="D21:D30" si="12">D9</f>
        <v>3</v>
      </c>
      <c r="E21" s="10"/>
      <c r="F21" s="4">
        <f t="shared" ref="F21:F30" si="13">N9</f>
        <v>47850000</v>
      </c>
    </row>
    <row r="22" spans="4:15" x14ac:dyDescent="0.35">
      <c r="D22" s="10">
        <f t="shared" si="12"/>
        <v>2</v>
      </c>
      <c r="E22" s="10"/>
      <c r="F22" s="4">
        <f t="shared" si="13"/>
        <v>49500000</v>
      </c>
      <c r="J22" s="2"/>
      <c r="K22" s="3"/>
      <c r="M22" s="4"/>
    </row>
    <row r="23" spans="4:15" x14ac:dyDescent="0.35">
      <c r="D23" s="10">
        <f t="shared" si="12"/>
        <v>1</v>
      </c>
      <c r="E23" s="10"/>
      <c r="F23" s="4">
        <f t="shared" si="13"/>
        <v>51442000</v>
      </c>
      <c r="J23" s="2"/>
      <c r="K23" s="3"/>
      <c r="M23" s="4"/>
    </row>
    <row r="24" spans="4:15" x14ac:dyDescent="0.35">
      <c r="D24" s="10">
        <f t="shared" si="12"/>
        <v>0.75</v>
      </c>
      <c r="E24" s="10"/>
      <c r="F24" s="4">
        <f t="shared" si="13"/>
        <v>51000500</v>
      </c>
      <c r="J24" s="2"/>
      <c r="K24" s="3"/>
      <c r="M24" s="4"/>
    </row>
    <row r="25" spans="4:15" x14ac:dyDescent="0.35">
      <c r="D25" s="10">
        <f t="shared" si="12"/>
        <v>0.5</v>
      </c>
      <c r="E25" s="10"/>
      <c r="F25" s="4">
        <f t="shared" si="13"/>
        <v>50632000</v>
      </c>
      <c r="J25" s="2"/>
      <c r="K25" s="3"/>
      <c r="M25" s="4"/>
    </row>
    <row r="26" spans="4:15" x14ac:dyDescent="0.35">
      <c r="D26" s="10">
        <f t="shared" si="12"/>
        <v>0.33333333333333331</v>
      </c>
      <c r="E26" s="10"/>
      <c r="F26" s="4">
        <f t="shared" si="13"/>
        <v>50435000</v>
      </c>
      <c r="J26" s="2"/>
      <c r="K26" s="3"/>
      <c r="M26" s="4"/>
    </row>
    <row r="27" spans="4:15" x14ac:dyDescent="0.35">
      <c r="D27" s="10">
        <f t="shared" si="12"/>
        <v>0.25</v>
      </c>
      <c r="E27" s="10"/>
      <c r="F27" s="4">
        <f t="shared" si="13"/>
        <v>50360833.333333336</v>
      </c>
      <c r="J27" s="2"/>
      <c r="K27" s="3"/>
      <c r="M27" s="4"/>
    </row>
    <row r="28" spans="4:15" x14ac:dyDescent="0.35">
      <c r="D28" s="10">
        <f t="shared" si="12"/>
        <v>0.2</v>
      </c>
      <c r="E28" s="10"/>
      <c r="F28" s="4">
        <f t="shared" si="13"/>
        <v>50130933.333333336</v>
      </c>
      <c r="J28" s="2"/>
      <c r="K28" s="3"/>
      <c r="M28" s="4"/>
    </row>
    <row r="29" spans="4:15" x14ac:dyDescent="0.35">
      <c r="D29" s="10">
        <f t="shared" si="12"/>
        <v>0.16666666666666666</v>
      </c>
      <c r="E29" s="10"/>
      <c r="F29" s="4">
        <f t="shared" si="13"/>
        <v>49835333.333333336</v>
      </c>
      <c r="J29" s="2"/>
      <c r="K29" s="3"/>
      <c r="M29" s="4"/>
    </row>
    <row r="30" spans="4:15" x14ac:dyDescent="0.35">
      <c r="D30" s="10">
        <f t="shared" si="12"/>
        <v>0.14285714285714285</v>
      </c>
      <c r="E30" s="10"/>
      <c r="F30" s="4">
        <f t="shared" si="13"/>
        <v>49498714.285714291</v>
      </c>
      <c r="J30" s="2"/>
      <c r="K30" s="3"/>
      <c r="M30" s="4"/>
    </row>
    <row r="36" spans="4:8" x14ac:dyDescent="0.35">
      <c r="F36" t="str">
        <f>J4</f>
        <v>Change in Investor Cost</v>
      </c>
      <c r="G36" t="str">
        <f>L4</f>
        <v>Change in Off-Taker Cost</v>
      </c>
    </row>
    <row r="37" spans="4:8" x14ac:dyDescent="0.35">
      <c r="D37" s="10">
        <f t="shared" ref="D37:D46" si="14">D21</f>
        <v>3</v>
      </c>
      <c r="E37" s="10"/>
      <c r="F37" s="4">
        <f>F38</f>
        <v>2000000</v>
      </c>
      <c r="G37" s="4">
        <f t="shared" ref="G37:G46" si="15">L9</f>
        <v>32850000</v>
      </c>
    </row>
    <row r="38" spans="4:8" x14ac:dyDescent="0.35">
      <c r="D38" s="10">
        <f t="shared" si="14"/>
        <v>2</v>
      </c>
      <c r="E38" s="10"/>
      <c r="F38" s="4">
        <f t="shared" ref="F38:F46" si="16">J10</f>
        <v>2000000</v>
      </c>
      <c r="G38" s="4">
        <f t="shared" si="15"/>
        <v>3650000</v>
      </c>
    </row>
    <row r="39" spans="4:8" x14ac:dyDescent="0.35">
      <c r="D39" s="10">
        <f t="shared" si="14"/>
        <v>1</v>
      </c>
      <c r="E39" s="10"/>
      <c r="F39" s="4">
        <f t="shared" si="16"/>
        <v>2000000</v>
      </c>
      <c r="G39" s="4">
        <f t="shared" si="15"/>
        <v>3942000</v>
      </c>
    </row>
    <row r="40" spans="4:8" x14ac:dyDescent="0.35">
      <c r="D40" s="10">
        <f t="shared" si="14"/>
        <v>0.75</v>
      </c>
      <c r="E40" s="10"/>
      <c r="F40" s="4">
        <f t="shared" si="16"/>
        <v>1500000</v>
      </c>
      <c r="G40" s="4">
        <f t="shared" si="15"/>
        <v>1058500</v>
      </c>
    </row>
    <row r="41" spans="4:8" x14ac:dyDescent="0.35">
      <c r="D41" s="10">
        <f t="shared" si="14"/>
        <v>0.5</v>
      </c>
      <c r="E41" s="10"/>
      <c r="F41" s="4">
        <f t="shared" si="16"/>
        <v>1500000</v>
      </c>
      <c r="G41" s="4">
        <f t="shared" si="15"/>
        <v>1131500</v>
      </c>
    </row>
    <row r="42" spans="4:8" x14ac:dyDescent="0.35">
      <c r="D42" s="10">
        <f t="shared" si="14"/>
        <v>0.33333333333333331</v>
      </c>
      <c r="E42" s="10"/>
      <c r="F42" s="4">
        <f t="shared" si="16"/>
        <v>1000000</v>
      </c>
      <c r="G42" s="4">
        <f t="shared" si="15"/>
        <v>803000.00000000012</v>
      </c>
    </row>
    <row r="43" spans="4:8" x14ac:dyDescent="0.35">
      <c r="D43" s="10">
        <f t="shared" si="14"/>
        <v>0.25</v>
      </c>
      <c r="E43" s="10"/>
      <c r="F43" s="4">
        <f t="shared" si="16"/>
        <v>500000</v>
      </c>
      <c r="G43" s="4">
        <f t="shared" si="15"/>
        <v>425833.33333333326</v>
      </c>
    </row>
    <row r="44" spans="4:8" x14ac:dyDescent="0.35">
      <c r="D44" s="10">
        <f t="shared" si="14"/>
        <v>0.2</v>
      </c>
      <c r="E44" s="10"/>
      <c r="F44" s="4">
        <f t="shared" si="16"/>
        <v>500000</v>
      </c>
      <c r="G44" s="4">
        <f t="shared" si="15"/>
        <v>270100</v>
      </c>
    </row>
    <row r="45" spans="4:8" x14ac:dyDescent="0.35">
      <c r="D45" s="10">
        <f t="shared" si="14"/>
        <v>0.16666666666666666</v>
      </c>
      <c r="E45" s="10"/>
      <c r="F45" s="4">
        <f t="shared" si="16"/>
        <v>500000</v>
      </c>
      <c r="G45" s="4">
        <f t="shared" si="15"/>
        <v>204399.99999999988</v>
      </c>
    </row>
    <row r="46" spans="4:8" x14ac:dyDescent="0.35">
      <c r="D46" s="10">
        <f t="shared" si="14"/>
        <v>0.14285714285714285</v>
      </c>
      <c r="E46" s="10"/>
      <c r="F46" s="4">
        <f t="shared" si="16"/>
        <v>500000</v>
      </c>
      <c r="G46" s="4">
        <f t="shared" si="15"/>
        <v>163380.95238095243</v>
      </c>
    </row>
    <row r="47" spans="4:8" x14ac:dyDescent="0.35">
      <c r="H47" s="10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03A7-C26F-4E89-B38A-08DD0BA1FAEE}">
  <sheetPr codeName="Sheet3"/>
  <dimension ref="C2:K28"/>
  <sheetViews>
    <sheetView topLeftCell="D1" workbookViewId="0">
      <selection activeCell="J1" sqref="J1"/>
    </sheetView>
  </sheetViews>
  <sheetFormatPr defaultRowHeight="14.5" x14ac:dyDescent="0.35"/>
  <cols>
    <col min="6" max="7" width="9.1796875" customWidth="1"/>
    <col min="10" max="10" width="10.90625" customWidth="1"/>
  </cols>
  <sheetData>
    <row r="2" spans="3:11" x14ac:dyDescent="0.35">
      <c r="C2" t="s">
        <v>2</v>
      </c>
      <c r="F2">
        <v>5</v>
      </c>
      <c r="H2" t="s">
        <v>3</v>
      </c>
    </row>
    <row r="3" spans="3:11" x14ac:dyDescent="0.35">
      <c r="F3" t="s">
        <v>9</v>
      </c>
      <c r="G3" t="s">
        <v>7</v>
      </c>
      <c r="H3">
        <v>3</v>
      </c>
      <c r="I3" t="s">
        <v>3</v>
      </c>
    </row>
    <row r="4" spans="3:11" x14ac:dyDescent="0.35">
      <c r="C4" t="s">
        <v>0</v>
      </c>
      <c r="D4" t="s">
        <v>1</v>
      </c>
      <c r="F4" t="s">
        <v>10</v>
      </c>
      <c r="G4" t="s">
        <v>4</v>
      </c>
      <c r="H4" t="s">
        <v>5</v>
      </c>
      <c r="I4" t="s">
        <v>6</v>
      </c>
      <c r="J4" t="s">
        <v>11</v>
      </c>
    </row>
    <row r="5" spans="3:11" x14ac:dyDescent="0.35">
      <c r="H5" t="s">
        <v>8</v>
      </c>
    </row>
    <row r="6" spans="3:11" x14ac:dyDescent="0.35">
      <c r="C6" s="1">
        <v>46023</v>
      </c>
      <c r="D6" t="b">
        <v>0</v>
      </c>
      <c r="E6">
        <f>E5+D6</f>
        <v>0</v>
      </c>
      <c r="F6" s="2"/>
      <c r="G6" s="2">
        <f t="shared" ref="G6:G14" si="0">G7+F6</f>
        <v>9180.1966299414744</v>
      </c>
      <c r="H6">
        <v>0</v>
      </c>
      <c r="I6">
        <f>H6+I5</f>
        <v>0</v>
      </c>
      <c r="J6" s="3">
        <f>I6+F6</f>
        <v>0</v>
      </c>
    </row>
    <row r="7" spans="3:11" x14ac:dyDescent="0.35">
      <c r="C7" s="1">
        <f>EDATE(C6,1)</f>
        <v>46054</v>
      </c>
      <c r="D7" t="b">
        <v>0</v>
      </c>
      <c r="E7">
        <f t="shared" ref="E7:E16" si="1">E6+D7</f>
        <v>0</v>
      </c>
      <c r="F7" s="2">
        <f>F8+((E7)^1.5)*$F$2</f>
        <v>555.24767033536239</v>
      </c>
      <c r="G7" s="2">
        <f t="shared" si="0"/>
        <v>9180.1966299414744</v>
      </c>
      <c r="H7">
        <v>200</v>
      </c>
      <c r="I7">
        <f t="shared" ref="I7:I16" si="2">H7+I6</f>
        <v>200</v>
      </c>
      <c r="J7" s="3">
        <f t="shared" ref="J7:J16" si="3">G7+I7</f>
        <v>9380.1966299414744</v>
      </c>
    </row>
    <row r="8" spans="3:11" x14ac:dyDescent="0.35">
      <c r="C8" s="1">
        <f t="shared" ref="C8:C16" si="4">EDATE(C7,1)</f>
        <v>46082</v>
      </c>
      <c r="D8" t="b">
        <v>1</v>
      </c>
      <c r="E8">
        <f t="shared" si="1"/>
        <v>1</v>
      </c>
      <c r="F8" s="2">
        <f t="shared" ref="F8:F16" si="5">F9+((E8)^1.5)*$F$2</f>
        <v>555.24767033536239</v>
      </c>
      <c r="G8" s="2">
        <f t="shared" si="0"/>
        <v>8624.9489596061121</v>
      </c>
      <c r="H8">
        <f>H7+(E8^2.5)*$H$3</f>
        <v>203</v>
      </c>
      <c r="I8">
        <f t="shared" si="2"/>
        <v>403</v>
      </c>
      <c r="J8" s="3">
        <f t="shared" si="3"/>
        <v>9027.9489596061121</v>
      </c>
      <c r="K8" s="3">
        <f>J8-J7</f>
        <v>-352.24767033536227</v>
      </c>
    </row>
    <row r="9" spans="3:11" x14ac:dyDescent="0.35">
      <c r="C9" s="1">
        <f t="shared" si="4"/>
        <v>46113</v>
      </c>
      <c r="D9" t="b">
        <v>1</v>
      </c>
      <c r="E9">
        <f t="shared" si="1"/>
        <v>2</v>
      </c>
      <c r="F9" s="2">
        <f t="shared" si="5"/>
        <v>550.24767033536239</v>
      </c>
      <c r="G9" s="2">
        <f t="shared" si="0"/>
        <v>8069.7012892707498</v>
      </c>
      <c r="H9">
        <f t="shared" ref="H9:H16" si="6">H8+(E9^2)*$H$3</f>
        <v>215</v>
      </c>
      <c r="I9">
        <f t="shared" si="2"/>
        <v>618</v>
      </c>
      <c r="J9" s="3">
        <f t="shared" si="3"/>
        <v>8687.7012892707498</v>
      </c>
      <c r="K9" s="3">
        <f t="shared" ref="K9:K16" si="7">J9-J8</f>
        <v>-340.24767033536227</v>
      </c>
    </row>
    <row r="10" spans="3:11" x14ac:dyDescent="0.35">
      <c r="C10" s="1">
        <f t="shared" si="4"/>
        <v>46143</v>
      </c>
      <c r="D10" t="b">
        <v>1</v>
      </c>
      <c r="E10">
        <f t="shared" si="1"/>
        <v>3</v>
      </c>
      <c r="F10" s="2">
        <f t="shared" si="5"/>
        <v>536.10553471163144</v>
      </c>
      <c r="G10" s="2">
        <f t="shared" si="0"/>
        <v>7519.4536189353876</v>
      </c>
      <c r="H10">
        <f t="shared" si="6"/>
        <v>242</v>
      </c>
      <c r="I10">
        <f t="shared" si="2"/>
        <v>860</v>
      </c>
      <c r="J10" s="3">
        <f t="shared" si="3"/>
        <v>8379.4536189353876</v>
      </c>
      <c r="K10" s="3">
        <f t="shared" si="7"/>
        <v>-308.24767033536227</v>
      </c>
    </row>
    <row r="11" spans="3:11" x14ac:dyDescent="0.35">
      <c r="C11" s="1">
        <f t="shared" si="4"/>
        <v>46174</v>
      </c>
      <c r="D11" t="b">
        <v>1</v>
      </c>
      <c r="E11">
        <f t="shared" si="1"/>
        <v>4</v>
      </c>
      <c r="F11" s="2">
        <f t="shared" si="5"/>
        <v>510.12477259809828</v>
      </c>
      <c r="G11" s="2">
        <f t="shared" si="0"/>
        <v>6983.3480842237559</v>
      </c>
      <c r="H11">
        <f t="shared" si="6"/>
        <v>290</v>
      </c>
      <c r="I11">
        <f t="shared" si="2"/>
        <v>1150</v>
      </c>
      <c r="J11" s="3">
        <f t="shared" si="3"/>
        <v>8133.3480842237559</v>
      </c>
      <c r="K11" s="3">
        <f t="shared" si="7"/>
        <v>-246.10553471163166</v>
      </c>
    </row>
    <row r="12" spans="3:11" x14ac:dyDescent="0.35">
      <c r="C12" s="1">
        <f t="shared" si="4"/>
        <v>46204</v>
      </c>
      <c r="D12" t="b">
        <v>1</v>
      </c>
      <c r="E12">
        <f t="shared" si="1"/>
        <v>5</v>
      </c>
      <c r="F12" s="2">
        <f t="shared" si="5"/>
        <v>470.12477259809828</v>
      </c>
      <c r="G12" s="2">
        <f t="shared" si="0"/>
        <v>6473.2233116256575</v>
      </c>
      <c r="H12">
        <f t="shared" si="6"/>
        <v>365</v>
      </c>
      <c r="I12">
        <f t="shared" si="2"/>
        <v>1515</v>
      </c>
      <c r="J12" s="3">
        <f t="shared" si="3"/>
        <v>7988.2233116256575</v>
      </c>
      <c r="K12" s="3">
        <f t="shared" si="7"/>
        <v>-145.12477259809839</v>
      </c>
    </row>
    <row r="13" spans="3:11" x14ac:dyDescent="0.35">
      <c r="C13" s="1">
        <f t="shared" si="4"/>
        <v>46235</v>
      </c>
      <c r="D13" t="b">
        <v>1</v>
      </c>
      <c r="E13">
        <f t="shared" si="1"/>
        <v>6</v>
      </c>
      <c r="F13" s="2">
        <f t="shared" si="5"/>
        <v>414.22307316060352</v>
      </c>
      <c r="G13" s="2">
        <f t="shared" si="0"/>
        <v>6003.0985390275591</v>
      </c>
      <c r="H13">
        <f t="shared" si="6"/>
        <v>473</v>
      </c>
      <c r="I13">
        <f t="shared" si="2"/>
        <v>1988</v>
      </c>
      <c r="J13" s="3">
        <f t="shared" si="3"/>
        <v>7991.0985390275591</v>
      </c>
      <c r="K13" s="3">
        <f t="shared" si="7"/>
        <v>2.8752274019016113</v>
      </c>
    </row>
    <row r="14" spans="3:11" x14ac:dyDescent="0.35">
      <c r="C14" s="1">
        <f t="shared" si="4"/>
        <v>46266</v>
      </c>
      <c r="D14" t="b">
        <v>1</v>
      </c>
      <c r="E14">
        <f t="shared" si="1"/>
        <v>7</v>
      </c>
      <c r="F14" s="2">
        <f t="shared" si="5"/>
        <v>340.73838087710817</v>
      </c>
      <c r="G14" s="2">
        <f t="shared" si="0"/>
        <v>5588.8754658669559</v>
      </c>
      <c r="H14">
        <f t="shared" si="6"/>
        <v>620</v>
      </c>
      <c r="I14">
        <f t="shared" si="2"/>
        <v>2608</v>
      </c>
      <c r="J14" s="3">
        <f t="shared" si="3"/>
        <v>8196.8754658669568</v>
      </c>
      <c r="K14" s="3">
        <f t="shared" si="7"/>
        <v>205.77692683939767</v>
      </c>
    </row>
    <row r="15" spans="3:11" x14ac:dyDescent="0.35">
      <c r="C15" s="1">
        <f t="shared" si="4"/>
        <v>46296</v>
      </c>
      <c r="D15" t="b">
        <v>1</v>
      </c>
      <c r="E15">
        <f t="shared" si="1"/>
        <v>8</v>
      </c>
      <c r="F15" s="2">
        <f t="shared" si="5"/>
        <v>248.13708498984755</v>
      </c>
      <c r="G15" s="2">
        <f>G16+F15</f>
        <v>5248.1370849898476</v>
      </c>
      <c r="H15">
        <f t="shared" si="6"/>
        <v>812</v>
      </c>
      <c r="I15">
        <f t="shared" si="2"/>
        <v>3420</v>
      </c>
      <c r="J15" s="3">
        <f t="shared" si="3"/>
        <v>8668.1370849898485</v>
      </c>
      <c r="K15" s="3">
        <f t="shared" si="7"/>
        <v>471.26161912289172</v>
      </c>
    </row>
    <row r="16" spans="3:11" x14ac:dyDescent="0.35">
      <c r="C16" s="1">
        <f t="shared" si="4"/>
        <v>46327</v>
      </c>
      <c r="D16" t="b">
        <v>1</v>
      </c>
      <c r="E16">
        <f t="shared" si="1"/>
        <v>9</v>
      </c>
      <c r="F16" s="2">
        <f t="shared" si="5"/>
        <v>135</v>
      </c>
      <c r="G16" s="2">
        <v>5000</v>
      </c>
      <c r="H16">
        <f t="shared" si="6"/>
        <v>1055</v>
      </c>
      <c r="I16">
        <f t="shared" si="2"/>
        <v>4475</v>
      </c>
      <c r="J16" s="3">
        <f t="shared" si="3"/>
        <v>9475</v>
      </c>
      <c r="K16" s="3">
        <f t="shared" si="7"/>
        <v>806.86291501015148</v>
      </c>
    </row>
    <row r="20" spans="6:9" x14ac:dyDescent="0.35">
      <c r="F20" s="2">
        <f>-F7</f>
        <v>-555.24767033536239</v>
      </c>
      <c r="G20" s="3">
        <f>F20</f>
        <v>-555.24767033536239</v>
      </c>
      <c r="H20">
        <f>I7</f>
        <v>200</v>
      </c>
      <c r="I20" s="4">
        <f>G20+H20</f>
        <v>-355.24767033536239</v>
      </c>
    </row>
    <row r="21" spans="6:9" x14ac:dyDescent="0.35">
      <c r="F21" s="2">
        <f t="shared" ref="F21:F28" si="8">-F8</f>
        <v>-555.24767033536239</v>
      </c>
      <c r="G21" s="3">
        <f>G20+F21</f>
        <v>-1110.4953406707248</v>
      </c>
      <c r="H21">
        <f t="shared" ref="H21:H28" si="9">I8</f>
        <v>403</v>
      </c>
      <c r="I21" s="4">
        <f t="shared" ref="I21:I28" si="10">G21+H21</f>
        <v>-707.49534067072477</v>
      </c>
    </row>
    <row r="22" spans="6:9" x14ac:dyDescent="0.35">
      <c r="F22" s="2">
        <f t="shared" si="8"/>
        <v>-550.24767033536239</v>
      </c>
      <c r="G22" s="3">
        <f t="shared" ref="G22:G28" si="11">G21+F22</f>
        <v>-1660.7430110060873</v>
      </c>
      <c r="H22">
        <f t="shared" si="9"/>
        <v>618</v>
      </c>
      <c r="I22" s="4">
        <f t="shared" si="10"/>
        <v>-1042.7430110060873</v>
      </c>
    </row>
    <row r="23" spans="6:9" x14ac:dyDescent="0.35">
      <c r="F23" s="2">
        <f t="shared" si="8"/>
        <v>-536.10553471163144</v>
      </c>
      <c r="G23" s="3">
        <f t="shared" si="11"/>
        <v>-2196.8485457177185</v>
      </c>
      <c r="H23">
        <f t="shared" si="9"/>
        <v>860</v>
      </c>
      <c r="I23" s="4">
        <f t="shared" si="10"/>
        <v>-1336.8485457177185</v>
      </c>
    </row>
    <row r="24" spans="6:9" x14ac:dyDescent="0.35">
      <c r="F24" s="2">
        <f t="shared" si="8"/>
        <v>-510.12477259809828</v>
      </c>
      <c r="G24" s="3">
        <f t="shared" si="11"/>
        <v>-2706.9733183158169</v>
      </c>
      <c r="H24">
        <f t="shared" si="9"/>
        <v>1150</v>
      </c>
      <c r="I24" s="4">
        <f t="shared" si="10"/>
        <v>-1556.9733183158169</v>
      </c>
    </row>
    <row r="25" spans="6:9" x14ac:dyDescent="0.35">
      <c r="F25" s="2">
        <f t="shared" si="8"/>
        <v>-470.12477259809828</v>
      </c>
      <c r="G25" s="3">
        <f t="shared" si="11"/>
        <v>-3177.0980909139153</v>
      </c>
      <c r="H25">
        <f t="shared" si="9"/>
        <v>1515</v>
      </c>
      <c r="I25" s="4">
        <f t="shared" si="10"/>
        <v>-1662.0980909139153</v>
      </c>
    </row>
    <row r="26" spans="6:9" x14ac:dyDescent="0.35">
      <c r="F26" s="2">
        <f t="shared" si="8"/>
        <v>-414.22307316060352</v>
      </c>
      <c r="G26" s="3">
        <f t="shared" si="11"/>
        <v>-3591.3211640745189</v>
      </c>
      <c r="H26">
        <f t="shared" si="9"/>
        <v>1988</v>
      </c>
      <c r="I26" s="4">
        <f t="shared" si="10"/>
        <v>-1603.3211640745189</v>
      </c>
    </row>
    <row r="27" spans="6:9" x14ac:dyDescent="0.35">
      <c r="F27" s="2">
        <f t="shared" si="8"/>
        <v>-340.73838087710817</v>
      </c>
      <c r="G27" s="3">
        <f t="shared" si="11"/>
        <v>-3932.0595449516272</v>
      </c>
      <c r="H27">
        <f t="shared" si="9"/>
        <v>2608</v>
      </c>
      <c r="I27" s="4">
        <f t="shared" si="10"/>
        <v>-1324.0595449516272</v>
      </c>
    </row>
    <row r="28" spans="6:9" x14ac:dyDescent="0.35">
      <c r="F28" s="2">
        <f t="shared" si="8"/>
        <v>-248.13708498984755</v>
      </c>
      <c r="G28" s="3">
        <f t="shared" si="11"/>
        <v>-4180.1966299414744</v>
      </c>
      <c r="H28">
        <f t="shared" si="9"/>
        <v>3420</v>
      </c>
      <c r="I28" s="4">
        <f t="shared" si="10"/>
        <v>-760.19662994147438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974D-AF27-4273-92A8-5178D888D49E}">
  <sheetPr codeName="Sheet4"/>
  <dimension ref="C2:K28"/>
  <sheetViews>
    <sheetView topLeftCell="L1" workbookViewId="0">
      <selection activeCell="S18" sqref="S18"/>
    </sheetView>
  </sheetViews>
  <sheetFormatPr defaultRowHeight="14.5" x14ac:dyDescent="0.35"/>
  <cols>
    <col min="6" max="7" width="9.1796875" customWidth="1"/>
    <col min="10" max="10" width="10.90625" customWidth="1"/>
    <col min="11" max="11" width="11.81640625" customWidth="1"/>
  </cols>
  <sheetData>
    <row r="2" spans="3:11" x14ac:dyDescent="0.35">
      <c r="C2" t="s">
        <v>2</v>
      </c>
      <c r="F2">
        <v>2</v>
      </c>
      <c r="H2" t="s">
        <v>3</v>
      </c>
    </row>
    <row r="3" spans="3:11" x14ac:dyDescent="0.35">
      <c r="F3" t="s">
        <v>9</v>
      </c>
      <c r="G3" t="s">
        <v>7</v>
      </c>
      <c r="H3">
        <v>0.8</v>
      </c>
      <c r="I3" t="s">
        <v>3</v>
      </c>
    </row>
    <row r="4" spans="3:11" x14ac:dyDescent="0.35">
      <c r="C4" t="s">
        <v>0</v>
      </c>
      <c r="D4" t="s">
        <v>1</v>
      </c>
      <c r="F4" t="s">
        <v>10</v>
      </c>
      <c r="G4" t="s">
        <v>4</v>
      </c>
      <c r="H4" t="s">
        <v>5</v>
      </c>
      <c r="I4" t="s">
        <v>6</v>
      </c>
      <c r="J4" t="s">
        <v>11</v>
      </c>
    </row>
    <row r="5" spans="3:11" x14ac:dyDescent="0.35">
      <c r="H5" t="s">
        <v>8</v>
      </c>
    </row>
    <row r="6" spans="3:11" x14ac:dyDescent="0.35">
      <c r="C6" s="1">
        <v>46023</v>
      </c>
      <c r="D6" t="b">
        <v>0</v>
      </c>
      <c r="E6">
        <f>E5+D6</f>
        <v>0</v>
      </c>
      <c r="F6" s="2"/>
      <c r="G6" s="2">
        <f t="shared" ref="G6:G14" si="0">G7+F6</f>
        <v>9458</v>
      </c>
      <c r="H6">
        <v>0</v>
      </c>
      <c r="I6">
        <f>H6+I5</f>
        <v>0</v>
      </c>
      <c r="J6" s="3">
        <f>I6+F6</f>
        <v>0</v>
      </c>
    </row>
    <row r="7" spans="3:11" x14ac:dyDescent="0.35">
      <c r="C7" s="1">
        <f>EDATE(C6,1)</f>
        <v>46054</v>
      </c>
      <c r="D7" t="b">
        <v>0</v>
      </c>
      <c r="E7">
        <f t="shared" ref="E7:E16" si="1">E6+D7</f>
        <v>0</v>
      </c>
      <c r="F7" s="2">
        <f>F8+((E7)^2)*$F$2</f>
        <v>570</v>
      </c>
      <c r="G7" s="2">
        <f t="shared" si="0"/>
        <v>9458</v>
      </c>
      <c r="H7">
        <v>200</v>
      </c>
      <c r="I7">
        <f t="shared" ref="I7:I16" si="2">H7+I6</f>
        <v>200</v>
      </c>
      <c r="J7" s="3">
        <f t="shared" ref="J7:J16" si="3">G7+I7</f>
        <v>9658</v>
      </c>
    </row>
    <row r="8" spans="3:11" x14ac:dyDescent="0.35">
      <c r="C8" s="1">
        <f t="shared" ref="C8:C16" si="4">EDATE(C7,1)</f>
        <v>46082</v>
      </c>
      <c r="D8" t="b">
        <v>1</v>
      </c>
      <c r="E8">
        <f t="shared" si="1"/>
        <v>1</v>
      </c>
      <c r="F8" s="2">
        <f t="shared" ref="F8:F16" si="5">F9+((E8)^2)*$F$2</f>
        <v>570</v>
      </c>
      <c r="G8" s="2">
        <f t="shared" si="0"/>
        <v>8888</v>
      </c>
      <c r="H8">
        <f>H7+(E8^3)*$H$3</f>
        <v>200.8</v>
      </c>
      <c r="I8">
        <f t="shared" si="2"/>
        <v>400.8</v>
      </c>
      <c r="J8" s="3">
        <f t="shared" si="3"/>
        <v>9288.7999999999993</v>
      </c>
      <c r="K8" s="3">
        <f>J8-J7</f>
        <v>-369.20000000000073</v>
      </c>
    </row>
    <row r="9" spans="3:11" x14ac:dyDescent="0.35">
      <c r="C9" s="1">
        <f t="shared" si="4"/>
        <v>46113</v>
      </c>
      <c r="D9" t="b">
        <v>1</v>
      </c>
      <c r="E9">
        <f t="shared" si="1"/>
        <v>2</v>
      </c>
      <c r="F9" s="2">
        <f t="shared" si="5"/>
        <v>568</v>
      </c>
      <c r="G9" s="2">
        <f t="shared" si="0"/>
        <v>8318</v>
      </c>
      <c r="H9">
        <f t="shared" ref="H9:H16" si="6">H8+(E9^3)*$H$3</f>
        <v>207.20000000000002</v>
      </c>
      <c r="I9">
        <f t="shared" si="2"/>
        <v>608</v>
      </c>
      <c r="J9" s="3">
        <f t="shared" si="3"/>
        <v>8926</v>
      </c>
      <c r="K9" s="3">
        <f t="shared" ref="K9:K16" si="7">J9-J8</f>
        <v>-362.79999999999927</v>
      </c>
    </row>
    <row r="10" spans="3:11" x14ac:dyDescent="0.35">
      <c r="C10" s="1">
        <f t="shared" si="4"/>
        <v>46143</v>
      </c>
      <c r="D10" t="b">
        <v>1</v>
      </c>
      <c r="E10">
        <f t="shared" si="1"/>
        <v>3</v>
      </c>
      <c r="F10" s="2">
        <f t="shared" si="5"/>
        <v>560</v>
      </c>
      <c r="G10" s="2">
        <f t="shared" si="0"/>
        <v>7750</v>
      </c>
      <c r="H10">
        <f t="shared" si="6"/>
        <v>228.8</v>
      </c>
      <c r="I10">
        <f t="shared" si="2"/>
        <v>836.8</v>
      </c>
      <c r="J10" s="3">
        <f t="shared" si="3"/>
        <v>8586.7999999999993</v>
      </c>
      <c r="K10" s="3">
        <f t="shared" si="7"/>
        <v>-339.20000000000073</v>
      </c>
    </row>
    <row r="11" spans="3:11" x14ac:dyDescent="0.35">
      <c r="C11" s="1">
        <f t="shared" si="4"/>
        <v>46174</v>
      </c>
      <c r="D11" t="b">
        <v>1</v>
      </c>
      <c r="E11">
        <f t="shared" si="1"/>
        <v>4</v>
      </c>
      <c r="F11" s="2">
        <f t="shared" si="5"/>
        <v>542</v>
      </c>
      <c r="G11" s="2">
        <f t="shared" si="0"/>
        <v>7190</v>
      </c>
      <c r="H11">
        <f t="shared" si="6"/>
        <v>280</v>
      </c>
      <c r="I11">
        <f t="shared" si="2"/>
        <v>1116.8</v>
      </c>
      <c r="J11" s="3">
        <f t="shared" si="3"/>
        <v>8306.7999999999993</v>
      </c>
      <c r="K11" s="3">
        <f t="shared" si="7"/>
        <v>-280</v>
      </c>
    </row>
    <row r="12" spans="3:11" x14ac:dyDescent="0.35">
      <c r="C12" s="1">
        <f t="shared" si="4"/>
        <v>46204</v>
      </c>
      <c r="D12" t="b">
        <v>1</v>
      </c>
      <c r="E12">
        <f t="shared" si="1"/>
        <v>5</v>
      </c>
      <c r="F12" s="2">
        <f t="shared" si="5"/>
        <v>510</v>
      </c>
      <c r="G12" s="2">
        <f t="shared" si="0"/>
        <v>6648</v>
      </c>
      <c r="H12">
        <f t="shared" si="6"/>
        <v>380</v>
      </c>
      <c r="I12">
        <f t="shared" si="2"/>
        <v>1496.8</v>
      </c>
      <c r="J12" s="3">
        <f t="shared" si="3"/>
        <v>8144.8</v>
      </c>
      <c r="K12" s="3">
        <f t="shared" si="7"/>
        <v>-161.99999999999909</v>
      </c>
    </row>
    <row r="13" spans="3:11" x14ac:dyDescent="0.35">
      <c r="C13" s="1">
        <f t="shared" si="4"/>
        <v>46235</v>
      </c>
      <c r="D13" t="b">
        <v>1</v>
      </c>
      <c r="E13">
        <f t="shared" si="1"/>
        <v>6</v>
      </c>
      <c r="F13" s="2">
        <f t="shared" si="5"/>
        <v>460</v>
      </c>
      <c r="G13" s="2">
        <f t="shared" si="0"/>
        <v>6138</v>
      </c>
      <c r="H13">
        <f t="shared" si="6"/>
        <v>552.79999999999995</v>
      </c>
      <c r="I13">
        <f t="shared" si="2"/>
        <v>2049.6</v>
      </c>
      <c r="J13" s="3">
        <f t="shared" si="3"/>
        <v>8187.6</v>
      </c>
      <c r="K13" s="3">
        <f t="shared" si="7"/>
        <v>42.800000000000182</v>
      </c>
    </row>
    <row r="14" spans="3:11" x14ac:dyDescent="0.35">
      <c r="C14" s="1">
        <f t="shared" si="4"/>
        <v>46266</v>
      </c>
      <c r="D14" t="b">
        <v>1</v>
      </c>
      <c r="E14">
        <f t="shared" si="1"/>
        <v>7</v>
      </c>
      <c r="F14" s="2">
        <f t="shared" si="5"/>
        <v>388</v>
      </c>
      <c r="G14" s="2">
        <f t="shared" si="0"/>
        <v>5678</v>
      </c>
      <c r="H14">
        <f t="shared" si="6"/>
        <v>827.2</v>
      </c>
      <c r="I14">
        <f t="shared" si="2"/>
        <v>2876.8</v>
      </c>
      <c r="J14" s="3">
        <f t="shared" si="3"/>
        <v>8554.7999999999993</v>
      </c>
      <c r="K14" s="3">
        <f t="shared" si="7"/>
        <v>367.19999999999891</v>
      </c>
    </row>
    <row r="15" spans="3:11" x14ac:dyDescent="0.35">
      <c r="C15" s="1">
        <f t="shared" si="4"/>
        <v>46296</v>
      </c>
      <c r="D15" t="b">
        <v>1</v>
      </c>
      <c r="E15">
        <f t="shared" si="1"/>
        <v>8</v>
      </c>
      <c r="F15" s="2">
        <f t="shared" si="5"/>
        <v>290</v>
      </c>
      <c r="G15" s="2">
        <f>G16+F15</f>
        <v>5290</v>
      </c>
      <c r="H15">
        <f t="shared" si="6"/>
        <v>1236.8000000000002</v>
      </c>
      <c r="I15">
        <f t="shared" si="2"/>
        <v>4113.6000000000004</v>
      </c>
      <c r="J15" s="3">
        <f t="shared" si="3"/>
        <v>9403.6</v>
      </c>
      <c r="K15" s="3">
        <f t="shared" si="7"/>
        <v>848.80000000000109</v>
      </c>
    </row>
    <row r="16" spans="3:11" x14ac:dyDescent="0.35">
      <c r="C16" s="1">
        <f t="shared" si="4"/>
        <v>46327</v>
      </c>
      <c r="D16" t="b">
        <v>1</v>
      </c>
      <c r="E16">
        <f t="shared" si="1"/>
        <v>9</v>
      </c>
      <c r="F16" s="2">
        <f t="shared" si="5"/>
        <v>162</v>
      </c>
      <c r="G16" s="2">
        <v>5000</v>
      </c>
      <c r="H16">
        <f t="shared" si="6"/>
        <v>1820.0000000000002</v>
      </c>
      <c r="I16">
        <f t="shared" si="2"/>
        <v>5933.6</v>
      </c>
      <c r="J16" s="3">
        <f t="shared" si="3"/>
        <v>10933.6</v>
      </c>
      <c r="K16" s="3">
        <f t="shared" si="7"/>
        <v>1530</v>
      </c>
    </row>
    <row r="20" spans="6:9" x14ac:dyDescent="0.35">
      <c r="F20" s="2">
        <f>-F7</f>
        <v>-570</v>
      </c>
      <c r="G20" s="3">
        <f>F20</f>
        <v>-570</v>
      </c>
      <c r="H20">
        <f>I7</f>
        <v>200</v>
      </c>
      <c r="I20" s="4">
        <f>G20+H20</f>
        <v>-370</v>
      </c>
    </row>
    <row r="21" spans="6:9" x14ac:dyDescent="0.35">
      <c r="F21" s="2">
        <f t="shared" ref="F21:F28" si="8">-F8</f>
        <v>-570</v>
      </c>
      <c r="G21" s="3">
        <f>G20+F21</f>
        <v>-1140</v>
      </c>
      <c r="H21">
        <f t="shared" ref="H21:H28" si="9">I8</f>
        <v>400.8</v>
      </c>
      <c r="I21" s="4">
        <f t="shared" ref="I21:I28" si="10">G21+H21</f>
        <v>-739.2</v>
      </c>
    </row>
    <row r="22" spans="6:9" x14ac:dyDescent="0.35">
      <c r="F22" s="2">
        <f t="shared" si="8"/>
        <v>-568</v>
      </c>
      <c r="G22" s="3">
        <f t="shared" ref="G22:G28" si="11">G21+F22</f>
        <v>-1708</v>
      </c>
      <c r="H22">
        <f t="shared" si="9"/>
        <v>608</v>
      </c>
      <c r="I22" s="4">
        <f t="shared" si="10"/>
        <v>-1100</v>
      </c>
    </row>
    <row r="23" spans="6:9" x14ac:dyDescent="0.35">
      <c r="F23" s="2">
        <f t="shared" si="8"/>
        <v>-560</v>
      </c>
      <c r="G23" s="3">
        <f t="shared" si="11"/>
        <v>-2268</v>
      </c>
      <c r="H23">
        <f t="shared" si="9"/>
        <v>836.8</v>
      </c>
      <c r="I23" s="4">
        <f t="shared" si="10"/>
        <v>-1431.2</v>
      </c>
    </row>
    <row r="24" spans="6:9" x14ac:dyDescent="0.35">
      <c r="F24" s="2">
        <f t="shared" si="8"/>
        <v>-542</v>
      </c>
      <c r="G24" s="3">
        <f t="shared" si="11"/>
        <v>-2810</v>
      </c>
      <c r="H24">
        <f t="shared" si="9"/>
        <v>1116.8</v>
      </c>
      <c r="I24" s="4">
        <f t="shared" si="10"/>
        <v>-1693.2</v>
      </c>
    </row>
    <row r="25" spans="6:9" x14ac:dyDescent="0.35">
      <c r="F25" s="2">
        <f t="shared" si="8"/>
        <v>-510</v>
      </c>
      <c r="G25" s="3">
        <f t="shared" si="11"/>
        <v>-3320</v>
      </c>
      <c r="H25">
        <f t="shared" si="9"/>
        <v>1496.8</v>
      </c>
      <c r="I25" s="4">
        <f t="shared" si="10"/>
        <v>-1823.2</v>
      </c>
    </row>
    <row r="26" spans="6:9" x14ac:dyDescent="0.35">
      <c r="F26" s="2">
        <f t="shared" si="8"/>
        <v>-460</v>
      </c>
      <c r="G26" s="3">
        <f t="shared" si="11"/>
        <v>-3780</v>
      </c>
      <c r="H26">
        <f t="shared" si="9"/>
        <v>2049.6</v>
      </c>
      <c r="I26" s="4">
        <f t="shared" si="10"/>
        <v>-1730.4</v>
      </c>
    </row>
    <row r="27" spans="6:9" x14ac:dyDescent="0.35">
      <c r="F27" s="2">
        <f t="shared" si="8"/>
        <v>-388</v>
      </c>
      <c r="G27" s="3">
        <f t="shared" si="11"/>
        <v>-4168</v>
      </c>
      <c r="H27">
        <f t="shared" si="9"/>
        <v>2876.8</v>
      </c>
      <c r="I27" s="4">
        <f t="shared" si="10"/>
        <v>-1291.1999999999998</v>
      </c>
    </row>
    <row r="28" spans="6:9" x14ac:dyDescent="0.35">
      <c r="F28" s="2">
        <f t="shared" si="8"/>
        <v>-290</v>
      </c>
      <c r="G28" s="3">
        <f t="shared" si="11"/>
        <v>-4458</v>
      </c>
      <c r="H28">
        <f t="shared" si="9"/>
        <v>4113.6000000000004</v>
      </c>
      <c r="I28" s="4">
        <f t="shared" si="10"/>
        <v>-344.39999999999964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50BD-07C4-415B-B962-CE7FF0371912}">
  <sheetPr codeName="Sheet5"/>
  <dimension ref="C3:J24"/>
  <sheetViews>
    <sheetView showGridLines="0" zoomScale="80" zoomScaleNormal="80" workbookViewId="0">
      <selection activeCell="G26" sqref="G26"/>
    </sheetView>
  </sheetViews>
  <sheetFormatPr defaultRowHeight="14.5" x14ac:dyDescent="0.35"/>
  <cols>
    <col min="1" max="2" width="1.453125" customWidth="1"/>
    <col min="3" max="3" width="1.453125" style="54" customWidth="1"/>
    <col min="4" max="4" width="26.81640625" customWidth="1"/>
    <col min="5" max="5" width="13.08984375" customWidth="1"/>
    <col min="6" max="6" width="14.81640625" bestFit="1" customWidth="1"/>
    <col min="7" max="7" width="13.81640625" bestFit="1" customWidth="1"/>
    <col min="8" max="8" width="7" customWidth="1"/>
    <col min="9" max="10" width="13.81640625" bestFit="1" customWidth="1"/>
  </cols>
  <sheetData>
    <row r="3" spans="3:10" ht="58" x14ac:dyDescent="0.35">
      <c r="C3" s="54" t="s">
        <v>39</v>
      </c>
      <c r="F3" s="55" t="s">
        <v>66</v>
      </c>
      <c r="G3" s="58" t="s">
        <v>67</v>
      </c>
      <c r="H3" s="56"/>
      <c r="I3" s="55" t="s">
        <v>66</v>
      </c>
      <c r="J3" s="58" t="s">
        <v>67</v>
      </c>
    </row>
    <row r="4" spans="3:10" x14ac:dyDescent="0.35">
      <c r="D4" t="s">
        <v>41</v>
      </c>
      <c r="E4" s="33" t="s">
        <v>42</v>
      </c>
      <c r="F4" s="22">
        <v>1000</v>
      </c>
      <c r="G4" s="24">
        <v>1000</v>
      </c>
      <c r="H4" s="4"/>
      <c r="I4" s="22">
        <v>1000</v>
      </c>
      <c r="J4" s="24">
        <v>1000</v>
      </c>
    </row>
    <row r="5" spans="3:10" x14ac:dyDescent="0.35">
      <c r="D5" t="s">
        <v>46</v>
      </c>
      <c r="E5" s="33" t="s">
        <v>43</v>
      </c>
      <c r="F5" s="41">
        <v>350</v>
      </c>
      <c r="G5" s="23">
        <v>275</v>
      </c>
      <c r="H5" s="2"/>
      <c r="I5" s="41">
        <v>350</v>
      </c>
      <c r="J5" s="23">
        <v>275</v>
      </c>
    </row>
    <row r="6" spans="3:10" x14ac:dyDescent="0.35">
      <c r="D6" t="s">
        <v>47</v>
      </c>
      <c r="E6" s="33" t="s">
        <v>43</v>
      </c>
      <c r="F6" s="41">
        <v>20</v>
      </c>
      <c r="G6" s="23">
        <v>15</v>
      </c>
      <c r="H6" s="2"/>
      <c r="I6" s="41">
        <v>20</v>
      </c>
      <c r="J6" s="23">
        <v>15</v>
      </c>
    </row>
    <row r="7" spans="3:10" x14ac:dyDescent="0.35">
      <c r="D7" t="s">
        <v>48</v>
      </c>
      <c r="E7" s="33" t="s">
        <v>44</v>
      </c>
      <c r="F7" s="41">
        <v>5</v>
      </c>
      <c r="G7" s="23">
        <v>5</v>
      </c>
      <c r="H7" s="2"/>
      <c r="I7" s="41">
        <v>5</v>
      </c>
      <c r="J7" s="23">
        <v>5</v>
      </c>
    </row>
    <row r="8" spans="3:10" x14ac:dyDescent="0.35">
      <c r="D8" t="s">
        <v>49</v>
      </c>
      <c r="E8" s="33" t="s">
        <v>45</v>
      </c>
      <c r="F8" s="41">
        <v>6</v>
      </c>
      <c r="G8" s="23">
        <v>7.5</v>
      </c>
      <c r="H8" s="2"/>
      <c r="I8" s="41">
        <v>6</v>
      </c>
      <c r="J8" s="23">
        <v>7.5</v>
      </c>
    </row>
    <row r="9" spans="3:10" x14ac:dyDescent="0.35">
      <c r="F9" s="17"/>
      <c r="G9" s="18"/>
      <c r="I9" s="17"/>
      <c r="J9" s="18"/>
    </row>
    <row r="10" spans="3:10" ht="43.5" x14ac:dyDescent="0.35">
      <c r="C10" s="54" t="s">
        <v>40</v>
      </c>
      <c r="F10" s="57" t="s">
        <v>68</v>
      </c>
      <c r="G10" s="61" t="s">
        <v>68</v>
      </c>
      <c r="H10" s="33"/>
      <c r="I10" s="57" t="s">
        <v>69</v>
      </c>
      <c r="J10" s="61" t="s">
        <v>69</v>
      </c>
    </row>
    <row r="11" spans="3:10" x14ac:dyDescent="0.35">
      <c r="D11" t="s">
        <v>50</v>
      </c>
      <c r="E11" s="33" t="s">
        <v>51</v>
      </c>
      <c r="F11" s="42">
        <v>0.8</v>
      </c>
      <c r="G11" s="43">
        <v>0.8</v>
      </c>
      <c r="H11" s="10"/>
      <c r="I11" s="42">
        <v>0.5</v>
      </c>
      <c r="J11" s="43">
        <v>0.5</v>
      </c>
    </row>
    <row r="12" spans="3:10" x14ac:dyDescent="0.35">
      <c r="D12" t="s">
        <v>53</v>
      </c>
      <c r="E12" s="33" t="s">
        <v>52</v>
      </c>
      <c r="F12" s="41">
        <v>15</v>
      </c>
      <c r="G12" s="23">
        <v>15</v>
      </c>
      <c r="H12" s="2"/>
      <c r="I12" s="41">
        <v>5</v>
      </c>
      <c r="J12" s="23">
        <v>5</v>
      </c>
    </row>
    <row r="13" spans="3:10" x14ac:dyDescent="0.35">
      <c r="F13" s="17"/>
      <c r="G13" s="18"/>
      <c r="I13" s="17"/>
      <c r="J13" s="18"/>
    </row>
    <row r="14" spans="3:10" x14ac:dyDescent="0.35">
      <c r="C14" s="54" t="s">
        <v>54</v>
      </c>
      <c r="F14" s="17"/>
      <c r="G14" s="18"/>
      <c r="I14" s="17"/>
      <c r="J14" s="18"/>
    </row>
    <row r="15" spans="3:10" x14ac:dyDescent="0.35">
      <c r="D15" t="s">
        <v>55</v>
      </c>
      <c r="E15" s="33" t="s">
        <v>56</v>
      </c>
      <c r="F15" s="22">
        <f>F4*8760*F11</f>
        <v>7008000</v>
      </c>
      <c r="G15" s="24">
        <f>G4*8760*G11</f>
        <v>7008000</v>
      </c>
      <c r="H15" s="4"/>
      <c r="I15" s="22">
        <f>I4*8760*I11</f>
        <v>4380000</v>
      </c>
      <c r="J15" s="24">
        <f>J4*8760*J11</f>
        <v>4380000</v>
      </c>
    </row>
    <row r="16" spans="3:10" x14ac:dyDescent="0.35">
      <c r="D16" t="s">
        <v>57</v>
      </c>
      <c r="E16" s="33" t="s">
        <v>57</v>
      </c>
      <c r="F16" s="22">
        <f>F15*F8</f>
        <v>42048000</v>
      </c>
      <c r="G16" s="24">
        <f>G15*G8</f>
        <v>52560000</v>
      </c>
      <c r="H16" s="4"/>
      <c r="I16" s="22">
        <f>I15*I8</f>
        <v>26280000</v>
      </c>
      <c r="J16" s="24">
        <f>J15*J8</f>
        <v>32850000</v>
      </c>
    </row>
    <row r="17" spans="4:10" x14ac:dyDescent="0.35">
      <c r="D17" s="35" t="s">
        <v>58</v>
      </c>
      <c r="E17" s="36" t="s">
        <v>59</v>
      </c>
      <c r="F17" s="44">
        <f>F16*F12</f>
        <v>630720000</v>
      </c>
      <c r="G17" s="45">
        <f>G16*G12</f>
        <v>788400000</v>
      </c>
      <c r="H17" s="37"/>
      <c r="I17" s="44">
        <f>I16*I12</f>
        <v>131400000</v>
      </c>
      <c r="J17" s="45">
        <f>J16*J12</f>
        <v>164250000</v>
      </c>
    </row>
    <row r="18" spans="4:10" x14ac:dyDescent="0.35">
      <c r="D18" t="s">
        <v>60</v>
      </c>
      <c r="E18" s="33" t="s">
        <v>59</v>
      </c>
      <c r="F18" s="22">
        <f>F4*F5*1000</f>
        <v>350000000</v>
      </c>
      <c r="G18" s="24">
        <f>G4*G5*1000</f>
        <v>275000000</v>
      </c>
      <c r="H18" s="4"/>
      <c r="I18" s="22">
        <f>I4*I5*1000</f>
        <v>350000000</v>
      </c>
      <c r="J18" s="24">
        <f>J4*J5*1000</f>
        <v>275000000</v>
      </c>
    </row>
    <row r="19" spans="4:10" x14ac:dyDescent="0.35">
      <c r="D19" t="s">
        <v>61</v>
      </c>
      <c r="E19" s="33" t="s">
        <v>59</v>
      </c>
      <c r="F19" s="22">
        <f>F6*1000*F4</f>
        <v>20000000</v>
      </c>
      <c r="G19" s="24">
        <f>G6*1000*G4</f>
        <v>15000000</v>
      </c>
      <c r="H19" s="4"/>
      <c r="I19" s="22">
        <f>I6*1000*I4</f>
        <v>20000000</v>
      </c>
      <c r="J19" s="24">
        <f>J6*1000*J4</f>
        <v>15000000</v>
      </c>
    </row>
    <row r="20" spans="4:10" x14ac:dyDescent="0.35">
      <c r="D20" t="s">
        <v>62</v>
      </c>
      <c r="E20" s="33" t="s">
        <v>59</v>
      </c>
      <c r="F20" s="22">
        <f>F15*F7</f>
        <v>35040000</v>
      </c>
      <c r="G20" s="24">
        <f>G15*G7</f>
        <v>35040000</v>
      </c>
      <c r="H20" s="4"/>
      <c r="I20" s="22">
        <f>I15*I7</f>
        <v>21900000</v>
      </c>
      <c r="J20" s="24">
        <f>J15*J7</f>
        <v>21900000</v>
      </c>
    </row>
    <row r="21" spans="4:10" ht="15" thickBot="1" x14ac:dyDescent="0.4">
      <c r="D21" s="38" t="s">
        <v>63</v>
      </c>
      <c r="E21" s="39" t="s">
        <v>59</v>
      </c>
      <c r="F21" s="46">
        <f>SUM(F17:F20)</f>
        <v>1035760000</v>
      </c>
      <c r="G21" s="47">
        <f t="shared" ref="G21:J21" si="0">SUM(G17:G20)</f>
        <v>1113440000</v>
      </c>
      <c r="H21" s="40"/>
      <c r="I21" s="46">
        <f t="shared" si="0"/>
        <v>523300000</v>
      </c>
      <c r="J21" s="47">
        <f t="shared" si="0"/>
        <v>476150000</v>
      </c>
    </row>
    <row r="22" spans="4:10" ht="15" thickTop="1" x14ac:dyDescent="0.35">
      <c r="D22" t="s">
        <v>64</v>
      </c>
      <c r="E22" s="33" t="s">
        <v>44</v>
      </c>
      <c r="F22" s="48">
        <f>F21/F15</f>
        <v>147.79680365296804</v>
      </c>
      <c r="G22" s="49">
        <f t="shared" ref="G22:J22" si="1">G21/G15</f>
        <v>158.88127853881278</v>
      </c>
      <c r="H22" s="59"/>
      <c r="I22" s="52">
        <f t="shared" si="1"/>
        <v>119.47488584474885</v>
      </c>
      <c r="J22" s="53">
        <f t="shared" si="1"/>
        <v>108.71004566210046</v>
      </c>
    </row>
    <row r="23" spans="4:10" x14ac:dyDescent="0.35">
      <c r="D23" t="s">
        <v>65</v>
      </c>
      <c r="E23" s="33" t="s">
        <v>44</v>
      </c>
      <c r="F23" s="50">
        <f>F17/F15</f>
        <v>90</v>
      </c>
      <c r="G23" s="51">
        <f t="shared" ref="G23:J23" si="2">G17/G15</f>
        <v>112.5</v>
      </c>
      <c r="H23" s="60"/>
      <c r="I23" s="50">
        <f t="shared" si="2"/>
        <v>30</v>
      </c>
      <c r="J23" s="51">
        <f t="shared" si="2"/>
        <v>37.5</v>
      </c>
    </row>
    <row r="24" spans="4:10" x14ac:dyDescent="0.35">
      <c r="G24" s="34">
        <f>G22/F22-1</f>
        <v>7.4998069050745242E-2</v>
      </c>
      <c r="J24" s="34">
        <f>J22/I22-1</f>
        <v>-9.0101280336327139E-2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9899B-1556-4CDE-8291-56949374F13B}">
  <dimension ref="B2:ALR36"/>
  <sheetViews>
    <sheetView showGridLines="0" workbookViewId="0">
      <selection activeCell="K18" sqref="K18"/>
    </sheetView>
  </sheetViews>
  <sheetFormatPr defaultRowHeight="14.5" x14ac:dyDescent="0.35"/>
  <cols>
    <col min="1" max="3" width="1.6328125" style="64" customWidth="1"/>
    <col min="4" max="4" width="22.08984375" style="64" customWidth="1"/>
    <col min="5" max="5" width="12.7265625" style="64" customWidth="1"/>
    <col min="6" max="6" width="10.1796875" style="64" bestFit="1" customWidth="1"/>
    <col min="7" max="7" width="12.08984375" style="64" customWidth="1"/>
    <col min="8" max="8" width="10.81640625" style="64" customWidth="1"/>
    <col min="9" max="16384" width="8.7265625" style="64"/>
  </cols>
  <sheetData>
    <row r="2" spans="2:1006" x14ac:dyDescent="0.35">
      <c r="B2" s="63" t="s">
        <v>80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3"/>
      <c r="IB2" s="63"/>
      <c r="IC2" s="63"/>
      <c r="ID2" s="63"/>
      <c r="IE2" s="63"/>
      <c r="IF2" s="63"/>
      <c r="IG2" s="63"/>
      <c r="IH2" s="63"/>
      <c r="II2" s="63"/>
      <c r="IJ2" s="63"/>
      <c r="IK2" s="63"/>
      <c r="IL2" s="63"/>
      <c r="IM2" s="63"/>
      <c r="IN2" s="63"/>
      <c r="IO2" s="63"/>
      <c r="IP2" s="63"/>
      <c r="IQ2" s="63"/>
      <c r="IR2" s="63"/>
      <c r="IS2" s="63"/>
      <c r="IT2" s="63"/>
      <c r="IU2" s="63"/>
      <c r="IV2" s="63"/>
      <c r="IW2" s="63"/>
      <c r="IX2" s="63"/>
      <c r="IY2" s="63"/>
      <c r="IZ2" s="63"/>
      <c r="JA2" s="63"/>
      <c r="JB2" s="63"/>
      <c r="JC2" s="63"/>
      <c r="JD2" s="63"/>
      <c r="JE2" s="63"/>
      <c r="JF2" s="63"/>
      <c r="JG2" s="63"/>
      <c r="JH2" s="63"/>
      <c r="JI2" s="63"/>
      <c r="JJ2" s="63"/>
      <c r="JK2" s="63"/>
      <c r="JL2" s="63"/>
      <c r="JM2" s="63"/>
      <c r="JN2" s="63"/>
      <c r="JO2" s="63"/>
      <c r="JP2" s="63"/>
      <c r="JQ2" s="63"/>
      <c r="JR2" s="63"/>
      <c r="JS2" s="63"/>
      <c r="JT2" s="63"/>
      <c r="JU2" s="63"/>
      <c r="JV2" s="63"/>
      <c r="JW2" s="63"/>
      <c r="JX2" s="63"/>
      <c r="JY2" s="63"/>
      <c r="JZ2" s="63"/>
      <c r="KA2" s="63"/>
      <c r="KB2" s="63"/>
      <c r="KC2" s="63"/>
      <c r="KD2" s="63"/>
      <c r="KE2" s="63"/>
      <c r="KF2" s="63"/>
      <c r="KG2" s="63"/>
      <c r="KH2" s="63"/>
      <c r="KI2" s="63"/>
      <c r="KJ2" s="63"/>
      <c r="KK2" s="63"/>
      <c r="KL2" s="63"/>
      <c r="KM2" s="63"/>
      <c r="KN2" s="63"/>
      <c r="KO2" s="63"/>
      <c r="KP2" s="63"/>
      <c r="KQ2" s="63"/>
      <c r="KR2" s="63"/>
      <c r="KS2" s="63"/>
      <c r="KT2" s="63"/>
      <c r="KU2" s="63"/>
      <c r="KV2" s="63"/>
      <c r="KW2" s="63"/>
      <c r="KX2" s="63"/>
      <c r="KY2" s="63"/>
      <c r="KZ2" s="63"/>
      <c r="LA2" s="63"/>
      <c r="LB2" s="63"/>
      <c r="LC2" s="63"/>
      <c r="LD2" s="63"/>
      <c r="LE2" s="63"/>
      <c r="LF2" s="63"/>
      <c r="LG2" s="63"/>
      <c r="LH2" s="63"/>
      <c r="LI2" s="63"/>
      <c r="LJ2" s="63"/>
      <c r="LK2" s="63"/>
      <c r="LL2" s="63"/>
      <c r="LM2" s="63"/>
      <c r="LN2" s="63"/>
      <c r="LO2" s="63"/>
      <c r="LP2" s="63"/>
      <c r="LQ2" s="63"/>
      <c r="LR2" s="63"/>
      <c r="LS2" s="63"/>
      <c r="LT2" s="63"/>
      <c r="LU2" s="63"/>
      <c r="LV2" s="63"/>
      <c r="LW2" s="63"/>
      <c r="LX2" s="63"/>
      <c r="LY2" s="63"/>
      <c r="LZ2" s="63"/>
      <c r="MA2" s="63"/>
      <c r="MB2" s="63"/>
      <c r="MC2" s="63"/>
      <c r="MD2" s="63"/>
      <c r="ME2" s="63"/>
      <c r="MF2" s="63"/>
      <c r="MG2" s="63"/>
      <c r="MH2" s="63"/>
      <c r="MI2" s="63"/>
      <c r="MJ2" s="63"/>
      <c r="MK2" s="63"/>
      <c r="ML2" s="63"/>
      <c r="MM2" s="63"/>
      <c r="MN2" s="63"/>
      <c r="MO2" s="63"/>
      <c r="MP2" s="63"/>
      <c r="MQ2" s="63"/>
      <c r="MR2" s="63"/>
      <c r="MS2" s="63"/>
      <c r="MT2" s="63"/>
      <c r="MU2" s="63"/>
      <c r="MV2" s="63"/>
      <c r="MW2" s="63"/>
      <c r="MX2" s="63"/>
      <c r="MY2" s="63"/>
      <c r="MZ2" s="63"/>
      <c r="NA2" s="63"/>
      <c r="NB2" s="63"/>
      <c r="NC2" s="63"/>
      <c r="ND2" s="63"/>
      <c r="NE2" s="63"/>
      <c r="NF2" s="63"/>
      <c r="NG2" s="63"/>
      <c r="NH2" s="63"/>
      <c r="NI2" s="63"/>
      <c r="NJ2" s="63"/>
      <c r="NK2" s="63"/>
      <c r="NL2" s="63"/>
      <c r="NM2" s="63"/>
      <c r="NN2" s="63"/>
      <c r="NO2" s="63"/>
      <c r="NP2" s="63"/>
      <c r="NQ2" s="63"/>
      <c r="NR2" s="63"/>
      <c r="NS2" s="63"/>
      <c r="NT2" s="63"/>
      <c r="NU2" s="63"/>
      <c r="NV2" s="63"/>
      <c r="NW2" s="63"/>
      <c r="NX2" s="63"/>
      <c r="NY2" s="63"/>
      <c r="NZ2" s="63"/>
      <c r="OA2" s="63"/>
      <c r="OB2" s="63"/>
      <c r="OC2" s="63"/>
      <c r="OD2" s="63"/>
      <c r="OE2" s="63"/>
      <c r="OF2" s="63"/>
      <c r="OG2" s="63"/>
      <c r="OH2" s="63"/>
      <c r="OI2" s="63"/>
      <c r="OJ2" s="63"/>
      <c r="OK2" s="63"/>
      <c r="OL2" s="63"/>
      <c r="OM2" s="63"/>
      <c r="ON2" s="63"/>
      <c r="OO2" s="63"/>
      <c r="OP2" s="63"/>
      <c r="OQ2" s="63"/>
      <c r="OR2" s="63"/>
      <c r="OS2" s="63"/>
      <c r="OT2" s="63"/>
      <c r="OU2" s="63"/>
      <c r="OV2" s="63"/>
      <c r="OW2" s="63"/>
      <c r="OX2" s="63"/>
      <c r="OY2" s="63"/>
      <c r="OZ2" s="63"/>
      <c r="PA2" s="63"/>
      <c r="PB2" s="63"/>
      <c r="PC2" s="63"/>
      <c r="PD2" s="63"/>
      <c r="PE2" s="63"/>
      <c r="PF2" s="63"/>
      <c r="PG2" s="63"/>
      <c r="PH2" s="63"/>
      <c r="PI2" s="63"/>
      <c r="PJ2" s="63"/>
      <c r="PK2" s="63"/>
      <c r="PL2" s="63"/>
      <c r="PM2" s="63"/>
      <c r="PN2" s="63"/>
      <c r="PO2" s="63"/>
      <c r="PP2" s="63"/>
      <c r="PQ2" s="63"/>
      <c r="PR2" s="63"/>
      <c r="PS2" s="63"/>
      <c r="PT2" s="63"/>
      <c r="PU2" s="63"/>
      <c r="PV2" s="63"/>
      <c r="PW2" s="63"/>
      <c r="PX2" s="63"/>
      <c r="PY2" s="63"/>
      <c r="PZ2" s="63"/>
      <c r="QA2" s="63"/>
      <c r="QB2" s="63"/>
      <c r="QC2" s="63"/>
      <c r="QD2" s="63"/>
      <c r="QE2" s="63"/>
      <c r="QF2" s="63"/>
      <c r="QG2" s="63"/>
      <c r="QH2" s="63"/>
      <c r="QI2" s="63"/>
      <c r="QJ2" s="63"/>
      <c r="QK2" s="63"/>
      <c r="QL2" s="63"/>
      <c r="QM2" s="63"/>
      <c r="QN2" s="63"/>
      <c r="QO2" s="63"/>
      <c r="QP2" s="63"/>
      <c r="QQ2" s="63"/>
      <c r="QR2" s="63"/>
      <c r="QS2" s="63"/>
      <c r="QT2" s="63"/>
      <c r="QU2" s="63"/>
      <c r="QV2" s="63"/>
      <c r="QW2" s="63"/>
      <c r="QX2" s="63"/>
      <c r="QY2" s="63"/>
      <c r="QZ2" s="63"/>
      <c r="RA2" s="63"/>
      <c r="RB2" s="63"/>
      <c r="RC2" s="63"/>
      <c r="RD2" s="63"/>
      <c r="RE2" s="63"/>
      <c r="RF2" s="63"/>
      <c r="RG2" s="63"/>
      <c r="RH2" s="63"/>
      <c r="RI2" s="63"/>
      <c r="RJ2" s="63"/>
      <c r="RK2" s="63"/>
      <c r="RL2" s="63"/>
      <c r="RM2" s="63"/>
      <c r="RN2" s="63"/>
      <c r="RO2" s="63"/>
      <c r="RP2" s="63"/>
      <c r="RQ2" s="63"/>
      <c r="RR2" s="63"/>
      <c r="RS2" s="63"/>
      <c r="RT2" s="63"/>
      <c r="RU2" s="63"/>
      <c r="RV2" s="63"/>
      <c r="RW2" s="63"/>
      <c r="RX2" s="63"/>
      <c r="RY2" s="63"/>
      <c r="RZ2" s="63"/>
      <c r="SA2" s="63"/>
      <c r="SB2" s="63"/>
      <c r="SC2" s="63"/>
      <c r="SD2" s="63"/>
      <c r="SE2" s="63"/>
      <c r="SF2" s="63"/>
      <c r="SG2" s="63"/>
      <c r="SH2" s="63"/>
      <c r="SI2" s="63"/>
      <c r="SJ2" s="63"/>
      <c r="SK2" s="63"/>
      <c r="SL2" s="63"/>
      <c r="SM2" s="63"/>
      <c r="SN2" s="63"/>
      <c r="SO2" s="63"/>
      <c r="SP2" s="63"/>
      <c r="SQ2" s="63"/>
      <c r="SR2" s="63"/>
      <c r="SS2" s="63"/>
      <c r="ST2" s="63"/>
      <c r="SU2" s="63"/>
      <c r="SV2" s="63"/>
      <c r="SW2" s="63"/>
      <c r="SX2" s="63"/>
      <c r="SY2" s="63"/>
      <c r="SZ2" s="63"/>
      <c r="TA2" s="63"/>
      <c r="TB2" s="63"/>
      <c r="TC2" s="63"/>
      <c r="TD2" s="63"/>
      <c r="TE2" s="63"/>
      <c r="TF2" s="63"/>
      <c r="TG2" s="63"/>
      <c r="TH2" s="63"/>
      <c r="TI2" s="63"/>
      <c r="TJ2" s="63"/>
      <c r="TK2" s="63"/>
      <c r="TL2" s="63"/>
      <c r="TM2" s="63"/>
      <c r="TN2" s="63"/>
      <c r="TO2" s="63"/>
      <c r="TP2" s="63"/>
      <c r="TQ2" s="63"/>
      <c r="TR2" s="63"/>
      <c r="TS2" s="63"/>
      <c r="TT2" s="63"/>
      <c r="TU2" s="63"/>
      <c r="TV2" s="63"/>
      <c r="TW2" s="63"/>
      <c r="TX2" s="63"/>
      <c r="TY2" s="63"/>
      <c r="TZ2" s="63"/>
      <c r="UA2" s="63"/>
      <c r="UB2" s="63"/>
      <c r="UC2" s="63"/>
      <c r="UD2" s="63"/>
      <c r="UE2" s="63"/>
      <c r="UF2" s="63"/>
      <c r="UG2" s="63"/>
      <c r="UH2" s="63"/>
      <c r="UI2" s="63"/>
      <c r="UJ2" s="63"/>
      <c r="UK2" s="63"/>
      <c r="UL2" s="63"/>
      <c r="UM2" s="63"/>
      <c r="UN2" s="63"/>
      <c r="UO2" s="63"/>
      <c r="UP2" s="63"/>
      <c r="UQ2" s="63"/>
      <c r="UR2" s="63"/>
      <c r="US2" s="63"/>
      <c r="UT2" s="63"/>
      <c r="UU2" s="63"/>
      <c r="UV2" s="63"/>
      <c r="UW2" s="63"/>
      <c r="UX2" s="63"/>
      <c r="UY2" s="63"/>
      <c r="UZ2" s="63"/>
      <c r="VA2" s="63"/>
      <c r="VB2" s="63"/>
      <c r="VC2" s="63"/>
      <c r="VD2" s="63"/>
      <c r="VE2" s="63"/>
      <c r="VF2" s="63"/>
      <c r="VG2" s="63"/>
      <c r="VH2" s="63"/>
      <c r="VI2" s="63"/>
      <c r="VJ2" s="63"/>
      <c r="VK2" s="63"/>
      <c r="VL2" s="63"/>
      <c r="VM2" s="63"/>
      <c r="VN2" s="63"/>
      <c r="VO2" s="63"/>
      <c r="VP2" s="63"/>
      <c r="VQ2" s="63"/>
      <c r="VR2" s="63"/>
      <c r="VS2" s="63"/>
      <c r="VT2" s="63"/>
      <c r="VU2" s="63"/>
      <c r="VV2" s="63"/>
      <c r="VW2" s="63"/>
      <c r="VX2" s="63"/>
      <c r="VY2" s="63"/>
      <c r="VZ2" s="63"/>
      <c r="WA2" s="63"/>
      <c r="WB2" s="63"/>
      <c r="WC2" s="63"/>
      <c r="WD2" s="63"/>
      <c r="WE2" s="63"/>
      <c r="WF2" s="63"/>
      <c r="WG2" s="63"/>
      <c r="WH2" s="63"/>
      <c r="WI2" s="63"/>
      <c r="WJ2" s="63"/>
      <c r="WK2" s="63"/>
      <c r="WL2" s="63"/>
      <c r="WM2" s="63"/>
      <c r="WN2" s="63"/>
      <c r="WO2" s="63"/>
      <c r="WP2" s="63"/>
      <c r="WQ2" s="63"/>
      <c r="WR2" s="63"/>
      <c r="WS2" s="63"/>
      <c r="WT2" s="63"/>
      <c r="WU2" s="63"/>
      <c r="WV2" s="63"/>
      <c r="WW2" s="63"/>
      <c r="WX2" s="63"/>
      <c r="WY2" s="63"/>
      <c r="WZ2" s="63"/>
      <c r="XA2" s="63"/>
      <c r="XB2" s="63"/>
      <c r="XC2" s="63"/>
      <c r="XD2" s="63"/>
      <c r="XE2" s="63"/>
      <c r="XF2" s="63"/>
      <c r="XG2" s="63"/>
      <c r="XH2" s="63"/>
      <c r="XI2" s="63"/>
      <c r="XJ2" s="63"/>
      <c r="XK2" s="63"/>
      <c r="XL2" s="63"/>
      <c r="XM2" s="63"/>
      <c r="XN2" s="63"/>
      <c r="XO2" s="63"/>
      <c r="XP2" s="63"/>
      <c r="XQ2" s="63"/>
      <c r="XR2" s="63"/>
      <c r="XS2" s="63"/>
      <c r="XT2" s="63"/>
      <c r="XU2" s="63"/>
      <c r="XV2" s="63"/>
      <c r="XW2" s="63"/>
      <c r="XX2" s="63"/>
      <c r="XY2" s="63"/>
      <c r="XZ2" s="63"/>
      <c r="YA2" s="63"/>
      <c r="YB2" s="63"/>
      <c r="YC2" s="63"/>
      <c r="YD2" s="63"/>
      <c r="YE2" s="63"/>
      <c r="YF2" s="63"/>
      <c r="YG2" s="63"/>
      <c r="YH2" s="63"/>
      <c r="YI2" s="63"/>
      <c r="YJ2" s="63"/>
      <c r="YK2" s="63"/>
      <c r="YL2" s="63"/>
      <c r="YM2" s="63"/>
      <c r="YN2" s="63"/>
      <c r="YO2" s="63"/>
      <c r="YP2" s="63"/>
      <c r="YQ2" s="63"/>
      <c r="YR2" s="63"/>
      <c r="YS2" s="63"/>
      <c r="YT2" s="63"/>
      <c r="YU2" s="63"/>
      <c r="YV2" s="63"/>
      <c r="YW2" s="63"/>
      <c r="YX2" s="63"/>
      <c r="YY2" s="63"/>
      <c r="YZ2" s="63"/>
      <c r="ZA2" s="63"/>
      <c r="ZB2" s="63"/>
      <c r="ZC2" s="63"/>
      <c r="ZD2" s="63"/>
      <c r="ZE2" s="63"/>
      <c r="ZF2" s="63"/>
      <c r="ZG2" s="63"/>
      <c r="ZH2" s="63"/>
      <c r="ZI2" s="63"/>
      <c r="ZJ2" s="63"/>
      <c r="ZK2" s="63"/>
      <c r="ZL2" s="63"/>
      <c r="ZM2" s="63"/>
      <c r="ZN2" s="63"/>
      <c r="ZO2" s="63"/>
      <c r="ZP2" s="63"/>
      <c r="ZQ2" s="63"/>
      <c r="ZR2" s="63"/>
      <c r="ZS2" s="63"/>
      <c r="ZT2" s="63"/>
      <c r="ZU2" s="63"/>
      <c r="ZV2" s="63"/>
      <c r="ZW2" s="63"/>
      <c r="ZX2" s="63"/>
      <c r="ZY2" s="63"/>
      <c r="ZZ2" s="63"/>
      <c r="AAA2" s="63"/>
      <c r="AAB2" s="63"/>
      <c r="AAC2" s="63"/>
      <c r="AAD2" s="63"/>
      <c r="AAE2" s="63"/>
      <c r="AAF2" s="63"/>
      <c r="AAG2" s="63"/>
      <c r="AAH2" s="63"/>
      <c r="AAI2" s="63"/>
      <c r="AAJ2" s="63"/>
      <c r="AAK2" s="63"/>
      <c r="AAL2" s="63"/>
      <c r="AAM2" s="63"/>
      <c r="AAN2" s="63"/>
      <c r="AAO2" s="63"/>
      <c r="AAP2" s="63"/>
      <c r="AAQ2" s="63"/>
      <c r="AAR2" s="63"/>
      <c r="AAS2" s="63"/>
      <c r="AAT2" s="63"/>
      <c r="AAU2" s="63"/>
      <c r="AAV2" s="63"/>
      <c r="AAW2" s="63"/>
      <c r="AAX2" s="63"/>
      <c r="AAY2" s="63"/>
      <c r="AAZ2" s="63"/>
      <c r="ABA2" s="63"/>
      <c r="ABB2" s="63"/>
      <c r="ABC2" s="63"/>
      <c r="ABD2" s="63"/>
      <c r="ABE2" s="63"/>
      <c r="ABF2" s="63"/>
      <c r="ABG2" s="63"/>
      <c r="ABH2" s="63"/>
      <c r="ABI2" s="63"/>
      <c r="ABJ2" s="63"/>
      <c r="ABK2" s="63"/>
      <c r="ABL2" s="63"/>
      <c r="ABM2" s="63"/>
      <c r="ABN2" s="63"/>
      <c r="ABO2" s="63"/>
      <c r="ABP2" s="63"/>
      <c r="ABQ2" s="63"/>
      <c r="ABR2" s="63"/>
      <c r="ABS2" s="63"/>
      <c r="ABT2" s="63"/>
      <c r="ABU2" s="63"/>
      <c r="ABV2" s="63"/>
      <c r="ABW2" s="63"/>
      <c r="ABX2" s="63"/>
      <c r="ABY2" s="63"/>
      <c r="ABZ2" s="63"/>
      <c r="ACA2" s="63"/>
      <c r="ACB2" s="63"/>
      <c r="ACC2" s="63"/>
      <c r="ACD2" s="63"/>
      <c r="ACE2" s="63"/>
      <c r="ACF2" s="63"/>
      <c r="ACG2" s="63"/>
      <c r="ACH2" s="63"/>
      <c r="ACI2" s="63"/>
      <c r="ACJ2" s="63"/>
      <c r="ACK2" s="63"/>
      <c r="ACL2" s="63"/>
      <c r="ACM2" s="63"/>
      <c r="ACN2" s="63"/>
      <c r="ACO2" s="63"/>
      <c r="ACP2" s="63"/>
      <c r="ACQ2" s="63"/>
      <c r="ACR2" s="63"/>
      <c r="ACS2" s="63"/>
      <c r="ACT2" s="63"/>
      <c r="ACU2" s="63"/>
      <c r="ACV2" s="63"/>
      <c r="ACW2" s="63"/>
      <c r="ACX2" s="63"/>
      <c r="ACY2" s="63"/>
      <c r="ACZ2" s="63"/>
      <c r="ADA2" s="63"/>
      <c r="ADB2" s="63"/>
      <c r="ADC2" s="63"/>
      <c r="ADD2" s="63"/>
      <c r="ADE2" s="63"/>
      <c r="ADF2" s="63"/>
      <c r="ADG2" s="63"/>
      <c r="ADH2" s="63"/>
      <c r="ADI2" s="63"/>
      <c r="ADJ2" s="63"/>
      <c r="ADK2" s="63"/>
      <c r="ADL2" s="63"/>
      <c r="ADM2" s="63"/>
      <c r="ADN2" s="63"/>
      <c r="ADO2" s="63"/>
      <c r="ADP2" s="63"/>
      <c r="ADQ2" s="63"/>
      <c r="ADR2" s="63"/>
      <c r="ADS2" s="63"/>
      <c r="ADT2" s="63"/>
      <c r="ADU2" s="63"/>
      <c r="ADV2" s="63"/>
      <c r="ADW2" s="63"/>
      <c r="ADX2" s="63"/>
      <c r="ADY2" s="63"/>
      <c r="ADZ2" s="63"/>
      <c r="AEA2" s="63"/>
      <c r="AEB2" s="63"/>
      <c r="AEC2" s="63"/>
      <c r="AED2" s="63"/>
      <c r="AEE2" s="63"/>
      <c r="AEF2" s="63"/>
      <c r="AEG2" s="63"/>
      <c r="AEH2" s="63"/>
      <c r="AEI2" s="63"/>
      <c r="AEJ2" s="63"/>
      <c r="AEK2" s="63"/>
      <c r="AEL2" s="63"/>
      <c r="AEM2" s="63"/>
      <c r="AEN2" s="63"/>
      <c r="AEO2" s="63"/>
      <c r="AEP2" s="63"/>
      <c r="AEQ2" s="63"/>
      <c r="AER2" s="63"/>
      <c r="AES2" s="63"/>
      <c r="AET2" s="63"/>
      <c r="AEU2" s="63"/>
      <c r="AEV2" s="63"/>
      <c r="AEW2" s="63"/>
      <c r="AEX2" s="63"/>
      <c r="AEY2" s="63"/>
      <c r="AEZ2" s="63"/>
      <c r="AFA2" s="63"/>
      <c r="AFB2" s="63"/>
      <c r="AFC2" s="63"/>
      <c r="AFD2" s="63"/>
      <c r="AFE2" s="63"/>
      <c r="AFF2" s="63"/>
      <c r="AFG2" s="63"/>
      <c r="AFH2" s="63"/>
      <c r="AFI2" s="63"/>
      <c r="AFJ2" s="63"/>
      <c r="AFK2" s="63"/>
      <c r="AFL2" s="63"/>
      <c r="AFM2" s="63"/>
      <c r="AFN2" s="63"/>
      <c r="AFO2" s="63"/>
      <c r="AFP2" s="63"/>
      <c r="AFQ2" s="63"/>
      <c r="AFR2" s="63"/>
      <c r="AFS2" s="63"/>
      <c r="AFT2" s="63"/>
      <c r="AFU2" s="63"/>
      <c r="AFV2" s="63"/>
      <c r="AFW2" s="63"/>
      <c r="AFX2" s="63"/>
      <c r="AFY2" s="63"/>
      <c r="AFZ2" s="63"/>
      <c r="AGA2" s="63"/>
      <c r="AGB2" s="63"/>
      <c r="AGC2" s="63"/>
      <c r="AGD2" s="63"/>
      <c r="AGE2" s="63"/>
      <c r="AGF2" s="63"/>
      <c r="AGG2" s="63"/>
      <c r="AGH2" s="63"/>
      <c r="AGI2" s="63"/>
      <c r="AGJ2" s="63"/>
      <c r="AGK2" s="63"/>
      <c r="AGL2" s="63"/>
      <c r="AGM2" s="63"/>
      <c r="AGN2" s="63"/>
      <c r="AGO2" s="63"/>
      <c r="AGP2" s="63"/>
      <c r="AGQ2" s="63"/>
      <c r="AGR2" s="63"/>
      <c r="AGS2" s="63"/>
      <c r="AGT2" s="63"/>
      <c r="AGU2" s="63"/>
      <c r="AGV2" s="63"/>
      <c r="AGW2" s="63"/>
      <c r="AGX2" s="63"/>
      <c r="AGY2" s="63"/>
      <c r="AGZ2" s="63"/>
      <c r="AHA2" s="63"/>
      <c r="AHB2" s="63"/>
      <c r="AHC2" s="63"/>
      <c r="AHD2" s="63"/>
      <c r="AHE2" s="63"/>
      <c r="AHF2" s="63"/>
      <c r="AHG2" s="63"/>
      <c r="AHH2" s="63"/>
      <c r="AHI2" s="63"/>
      <c r="AHJ2" s="63"/>
      <c r="AHK2" s="63"/>
      <c r="AHL2" s="63"/>
      <c r="AHM2" s="63"/>
      <c r="AHN2" s="63"/>
      <c r="AHO2" s="63"/>
      <c r="AHP2" s="63"/>
      <c r="AHQ2" s="63"/>
      <c r="AHR2" s="63"/>
      <c r="AHS2" s="63"/>
      <c r="AHT2" s="63"/>
      <c r="AHU2" s="63"/>
      <c r="AHV2" s="63"/>
      <c r="AHW2" s="63"/>
      <c r="AHX2" s="63"/>
      <c r="AHY2" s="63"/>
      <c r="AHZ2" s="63"/>
      <c r="AIA2" s="63"/>
      <c r="AIB2" s="63"/>
      <c r="AIC2" s="63"/>
      <c r="AID2" s="63"/>
      <c r="AIE2" s="63"/>
      <c r="AIF2" s="63"/>
      <c r="AIG2" s="63"/>
      <c r="AIH2" s="63"/>
      <c r="AII2" s="63"/>
      <c r="AIJ2" s="63"/>
      <c r="AIK2" s="63"/>
      <c r="AIL2" s="63"/>
      <c r="AIM2" s="63"/>
      <c r="AIN2" s="63"/>
      <c r="AIO2" s="63"/>
      <c r="AIP2" s="63"/>
      <c r="AIQ2" s="63"/>
      <c r="AIR2" s="63"/>
      <c r="AIS2" s="63"/>
      <c r="AIT2" s="63"/>
      <c r="AIU2" s="63"/>
      <c r="AIV2" s="63"/>
      <c r="AIW2" s="63"/>
      <c r="AIX2" s="63"/>
      <c r="AIY2" s="63"/>
      <c r="AIZ2" s="63"/>
      <c r="AJA2" s="63"/>
      <c r="AJB2" s="63"/>
      <c r="AJC2" s="63"/>
      <c r="AJD2" s="63"/>
      <c r="AJE2" s="63"/>
      <c r="AJF2" s="63"/>
      <c r="AJG2" s="63"/>
      <c r="AJH2" s="63"/>
      <c r="AJI2" s="63"/>
      <c r="AJJ2" s="63"/>
      <c r="AJK2" s="63"/>
      <c r="AJL2" s="63"/>
      <c r="AJM2" s="63"/>
      <c r="AJN2" s="63"/>
      <c r="AJO2" s="63"/>
      <c r="AJP2" s="63"/>
      <c r="AJQ2" s="63"/>
      <c r="AJR2" s="63"/>
      <c r="AJS2" s="63"/>
      <c r="AJT2" s="63"/>
      <c r="AJU2" s="63"/>
      <c r="AJV2" s="63"/>
      <c r="AJW2" s="63"/>
      <c r="AJX2" s="63"/>
      <c r="AJY2" s="63"/>
      <c r="AJZ2" s="63"/>
      <c r="AKA2" s="63"/>
      <c r="AKB2" s="63"/>
      <c r="AKC2" s="63"/>
      <c r="AKD2" s="63"/>
      <c r="AKE2" s="63"/>
      <c r="AKF2" s="63"/>
      <c r="AKG2" s="63"/>
      <c r="AKH2" s="63"/>
      <c r="AKI2" s="63"/>
      <c r="AKJ2" s="63"/>
      <c r="AKK2" s="63"/>
      <c r="AKL2" s="63"/>
      <c r="AKM2" s="63"/>
      <c r="AKN2" s="63"/>
      <c r="AKO2" s="63"/>
      <c r="AKP2" s="63"/>
      <c r="AKQ2" s="63"/>
      <c r="AKR2" s="63"/>
      <c r="AKS2" s="63"/>
      <c r="AKT2" s="63"/>
      <c r="AKU2" s="63"/>
      <c r="AKV2" s="63"/>
      <c r="AKW2" s="63"/>
      <c r="AKX2" s="63"/>
      <c r="AKY2" s="63"/>
      <c r="AKZ2" s="63"/>
      <c r="ALA2" s="63"/>
      <c r="ALB2" s="63"/>
      <c r="ALC2" s="63"/>
      <c r="ALD2" s="63"/>
      <c r="ALE2" s="63"/>
      <c r="ALF2" s="63"/>
      <c r="ALG2" s="63"/>
      <c r="ALH2" s="63"/>
      <c r="ALI2" s="63"/>
      <c r="ALJ2" s="63"/>
      <c r="ALK2" s="63"/>
      <c r="ALL2" s="63"/>
      <c r="ALM2" s="63"/>
      <c r="ALN2" s="63"/>
      <c r="ALO2" s="63"/>
      <c r="ALP2" s="63"/>
      <c r="ALQ2" s="63"/>
      <c r="ALR2" s="63"/>
    </row>
    <row r="3" spans="2:1006" ht="29" x14ac:dyDescent="0.35">
      <c r="F3" s="65" t="s">
        <v>77</v>
      </c>
      <c r="G3" s="66" t="s">
        <v>78</v>
      </c>
      <c r="H3" s="66" t="s">
        <v>79</v>
      </c>
    </row>
    <row r="5" spans="2:1006" x14ac:dyDescent="0.35">
      <c r="D5" s="64" t="s">
        <v>55</v>
      </c>
      <c r="E5" s="65" t="s">
        <v>56</v>
      </c>
      <c r="F5" s="62">
        <v>50000</v>
      </c>
      <c r="G5" s="62">
        <v>70000</v>
      </c>
      <c r="H5" s="62">
        <v>30000</v>
      </c>
    </row>
    <row r="6" spans="2:1006" x14ac:dyDescent="0.35">
      <c r="E6" s="65"/>
    </row>
    <row r="7" spans="2:1006" x14ac:dyDescent="0.35">
      <c r="D7" s="64" t="s">
        <v>70</v>
      </c>
      <c r="E7" s="65" t="s">
        <v>59</v>
      </c>
      <c r="F7" s="62">
        <v>500000</v>
      </c>
      <c r="G7" s="62">
        <v>500000</v>
      </c>
      <c r="H7" s="62">
        <v>500000</v>
      </c>
    </row>
    <row r="8" spans="2:1006" x14ac:dyDescent="0.35">
      <c r="D8" s="64" t="s">
        <v>71</v>
      </c>
      <c r="E8" s="65" t="s">
        <v>59</v>
      </c>
      <c r="F8" s="62">
        <v>500000</v>
      </c>
      <c r="G8" s="62">
        <v>500000</v>
      </c>
      <c r="H8" s="62">
        <v>500000</v>
      </c>
    </row>
    <row r="9" spans="2:1006" x14ac:dyDescent="0.35">
      <c r="E9" s="65"/>
    </row>
    <row r="10" spans="2:1006" x14ac:dyDescent="0.35">
      <c r="D10" s="64" t="s">
        <v>72</v>
      </c>
      <c r="E10" s="65" t="s">
        <v>44</v>
      </c>
      <c r="F10" s="62">
        <v>10</v>
      </c>
      <c r="G10" s="62">
        <v>10</v>
      </c>
      <c r="H10" s="62">
        <v>10</v>
      </c>
    </row>
    <row r="11" spans="2:1006" x14ac:dyDescent="0.35">
      <c r="D11" s="64" t="s">
        <v>73</v>
      </c>
      <c r="E11" s="65" t="s">
        <v>44</v>
      </c>
      <c r="F11" s="62">
        <v>10</v>
      </c>
      <c r="G11" s="62">
        <v>10</v>
      </c>
      <c r="H11" s="62">
        <v>10</v>
      </c>
    </row>
    <row r="12" spans="2:1006" x14ac:dyDescent="0.35">
      <c r="E12" s="65"/>
    </row>
    <row r="13" spans="2:1006" x14ac:dyDescent="0.35">
      <c r="D13" s="64" t="s">
        <v>74</v>
      </c>
      <c r="E13" s="65" t="s">
        <v>59</v>
      </c>
      <c r="F13" s="67">
        <f>F10*F5</f>
        <v>500000</v>
      </c>
      <c r="G13" s="67">
        <f>G10*G5</f>
        <v>700000</v>
      </c>
      <c r="H13" s="67">
        <f>H10*H5</f>
        <v>300000</v>
      </c>
    </row>
    <row r="14" spans="2:1006" x14ac:dyDescent="0.35">
      <c r="D14" s="64" t="s">
        <v>75</v>
      </c>
      <c r="E14" s="65" t="s">
        <v>59</v>
      </c>
      <c r="F14" s="67">
        <f>F11*F5</f>
        <v>500000</v>
      </c>
      <c r="G14" s="67">
        <f>G11*G5</f>
        <v>700000</v>
      </c>
      <c r="H14" s="67">
        <f>H11*H5</f>
        <v>300000</v>
      </c>
    </row>
    <row r="15" spans="2:1006" x14ac:dyDescent="0.35">
      <c r="E15" s="65"/>
    </row>
    <row r="16" spans="2:1006" x14ac:dyDescent="0.35">
      <c r="D16" s="64" t="s">
        <v>76</v>
      </c>
      <c r="E16" s="65" t="s">
        <v>59</v>
      </c>
      <c r="F16" s="67">
        <f t="shared" ref="F16:H17" si="0">F7+F13</f>
        <v>1000000</v>
      </c>
      <c r="G16" s="67">
        <f t="shared" si="0"/>
        <v>1200000</v>
      </c>
      <c r="H16" s="67">
        <f t="shared" si="0"/>
        <v>800000</v>
      </c>
    </row>
    <row r="17" spans="2:1006" x14ac:dyDescent="0.35">
      <c r="D17" s="64" t="s">
        <v>76</v>
      </c>
      <c r="E17" s="65" t="s">
        <v>59</v>
      </c>
      <c r="F17" s="67">
        <f t="shared" si="0"/>
        <v>1000000</v>
      </c>
      <c r="G17" s="67">
        <f t="shared" si="0"/>
        <v>1200000</v>
      </c>
      <c r="H17" s="67">
        <f t="shared" si="0"/>
        <v>800000</v>
      </c>
    </row>
    <row r="19" spans="2:1006" x14ac:dyDescent="0.35">
      <c r="B19" s="63" t="s">
        <v>81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  <c r="JC19" s="63"/>
      <c r="JD19" s="63"/>
      <c r="JE19" s="63"/>
      <c r="JF19" s="63"/>
      <c r="JG19" s="63"/>
      <c r="JH19" s="63"/>
      <c r="JI19" s="63"/>
      <c r="JJ19" s="63"/>
      <c r="JK19" s="63"/>
      <c r="JL19" s="63"/>
      <c r="JM19" s="63"/>
      <c r="JN19" s="63"/>
      <c r="JO19" s="63"/>
      <c r="JP19" s="63"/>
      <c r="JQ19" s="63"/>
      <c r="JR19" s="63"/>
      <c r="JS19" s="63"/>
      <c r="JT19" s="63"/>
      <c r="JU19" s="63"/>
      <c r="JV19" s="63"/>
      <c r="JW19" s="63"/>
      <c r="JX19" s="63"/>
      <c r="JY19" s="63"/>
      <c r="JZ19" s="63"/>
      <c r="KA19" s="63"/>
      <c r="KB19" s="63"/>
      <c r="KC19" s="63"/>
      <c r="KD19" s="63"/>
      <c r="KE19" s="63"/>
      <c r="KF19" s="63"/>
      <c r="KG19" s="63"/>
      <c r="KH19" s="63"/>
      <c r="KI19" s="63"/>
      <c r="KJ19" s="63"/>
      <c r="KK19" s="63"/>
      <c r="KL19" s="63"/>
      <c r="KM19" s="63"/>
      <c r="KN19" s="63"/>
      <c r="KO19" s="63"/>
      <c r="KP19" s="63"/>
      <c r="KQ19" s="63"/>
      <c r="KR19" s="63"/>
      <c r="KS19" s="63"/>
      <c r="KT19" s="63"/>
      <c r="KU19" s="63"/>
      <c r="KV19" s="63"/>
      <c r="KW19" s="63"/>
      <c r="KX19" s="63"/>
      <c r="KY19" s="63"/>
      <c r="KZ19" s="63"/>
      <c r="LA19" s="63"/>
      <c r="LB19" s="63"/>
      <c r="LC19" s="63"/>
      <c r="LD19" s="63"/>
      <c r="LE19" s="63"/>
      <c r="LF19" s="63"/>
      <c r="LG19" s="63"/>
      <c r="LH19" s="63"/>
      <c r="LI19" s="63"/>
      <c r="LJ19" s="63"/>
      <c r="LK19" s="63"/>
      <c r="LL19" s="63"/>
      <c r="LM19" s="63"/>
      <c r="LN19" s="63"/>
      <c r="LO19" s="63"/>
      <c r="LP19" s="63"/>
      <c r="LQ19" s="63"/>
      <c r="LR19" s="63"/>
      <c r="LS19" s="63"/>
      <c r="LT19" s="63"/>
      <c r="LU19" s="63"/>
      <c r="LV19" s="63"/>
      <c r="LW19" s="63"/>
      <c r="LX19" s="63"/>
      <c r="LY19" s="63"/>
      <c r="LZ19" s="63"/>
      <c r="MA19" s="63"/>
      <c r="MB19" s="63"/>
      <c r="MC19" s="63"/>
      <c r="MD19" s="63"/>
      <c r="ME19" s="63"/>
      <c r="MF19" s="63"/>
      <c r="MG19" s="63"/>
      <c r="MH19" s="63"/>
      <c r="MI19" s="63"/>
      <c r="MJ19" s="63"/>
      <c r="MK19" s="63"/>
      <c r="ML19" s="63"/>
      <c r="MM19" s="63"/>
      <c r="MN19" s="63"/>
      <c r="MO19" s="63"/>
      <c r="MP19" s="63"/>
      <c r="MQ19" s="63"/>
      <c r="MR19" s="63"/>
      <c r="MS19" s="63"/>
      <c r="MT19" s="63"/>
      <c r="MU19" s="63"/>
      <c r="MV19" s="63"/>
      <c r="MW19" s="63"/>
      <c r="MX19" s="63"/>
      <c r="MY19" s="63"/>
      <c r="MZ19" s="63"/>
      <c r="NA19" s="63"/>
      <c r="NB19" s="63"/>
      <c r="NC19" s="63"/>
      <c r="ND19" s="63"/>
      <c r="NE19" s="63"/>
      <c r="NF19" s="63"/>
      <c r="NG19" s="63"/>
      <c r="NH19" s="63"/>
      <c r="NI19" s="63"/>
      <c r="NJ19" s="63"/>
      <c r="NK19" s="63"/>
      <c r="NL19" s="63"/>
      <c r="NM19" s="63"/>
      <c r="NN19" s="63"/>
      <c r="NO19" s="63"/>
      <c r="NP19" s="63"/>
      <c r="NQ19" s="63"/>
      <c r="NR19" s="63"/>
      <c r="NS19" s="63"/>
      <c r="NT19" s="63"/>
      <c r="NU19" s="63"/>
      <c r="NV19" s="63"/>
      <c r="NW19" s="63"/>
      <c r="NX19" s="63"/>
      <c r="NY19" s="63"/>
      <c r="NZ19" s="63"/>
      <c r="OA19" s="63"/>
      <c r="OB19" s="63"/>
      <c r="OC19" s="63"/>
      <c r="OD19" s="63"/>
      <c r="OE19" s="63"/>
      <c r="OF19" s="63"/>
      <c r="OG19" s="63"/>
      <c r="OH19" s="63"/>
      <c r="OI19" s="63"/>
      <c r="OJ19" s="63"/>
      <c r="OK19" s="63"/>
      <c r="OL19" s="63"/>
      <c r="OM19" s="63"/>
      <c r="ON19" s="63"/>
      <c r="OO19" s="63"/>
      <c r="OP19" s="63"/>
      <c r="OQ19" s="63"/>
      <c r="OR19" s="63"/>
      <c r="OS19" s="63"/>
      <c r="OT19" s="63"/>
      <c r="OU19" s="63"/>
      <c r="OV19" s="63"/>
      <c r="OW19" s="63"/>
      <c r="OX19" s="63"/>
      <c r="OY19" s="63"/>
      <c r="OZ19" s="63"/>
      <c r="PA19" s="63"/>
      <c r="PB19" s="63"/>
      <c r="PC19" s="63"/>
      <c r="PD19" s="63"/>
      <c r="PE19" s="63"/>
      <c r="PF19" s="63"/>
      <c r="PG19" s="63"/>
      <c r="PH19" s="63"/>
      <c r="PI19" s="63"/>
      <c r="PJ19" s="63"/>
      <c r="PK19" s="63"/>
      <c r="PL19" s="63"/>
      <c r="PM19" s="63"/>
      <c r="PN19" s="63"/>
      <c r="PO19" s="63"/>
      <c r="PP19" s="63"/>
      <c r="PQ19" s="63"/>
      <c r="PR19" s="63"/>
      <c r="PS19" s="63"/>
      <c r="PT19" s="63"/>
      <c r="PU19" s="63"/>
      <c r="PV19" s="63"/>
      <c r="PW19" s="63"/>
      <c r="PX19" s="63"/>
      <c r="PY19" s="63"/>
      <c r="PZ19" s="63"/>
      <c r="QA19" s="63"/>
      <c r="QB19" s="63"/>
      <c r="QC19" s="63"/>
      <c r="QD19" s="63"/>
      <c r="QE19" s="63"/>
      <c r="QF19" s="63"/>
      <c r="QG19" s="63"/>
      <c r="QH19" s="63"/>
      <c r="QI19" s="63"/>
      <c r="QJ19" s="63"/>
      <c r="QK19" s="63"/>
      <c r="QL19" s="63"/>
      <c r="QM19" s="63"/>
      <c r="QN19" s="63"/>
      <c r="QO19" s="63"/>
      <c r="QP19" s="63"/>
      <c r="QQ19" s="63"/>
      <c r="QR19" s="63"/>
      <c r="QS19" s="63"/>
      <c r="QT19" s="63"/>
      <c r="QU19" s="63"/>
      <c r="QV19" s="63"/>
      <c r="QW19" s="63"/>
      <c r="QX19" s="63"/>
      <c r="QY19" s="63"/>
      <c r="QZ19" s="63"/>
      <c r="RA19" s="63"/>
      <c r="RB19" s="63"/>
      <c r="RC19" s="63"/>
      <c r="RD19" s="63"/>
      <c r="RE19" s="63"/>
      <c r="RF19" s="63"/>
      <c r="RG19" s="63"/>
      <c r="RH19" s="63"/>
      <c r="RI19" s="63"/>
      <c r="RJ19" s="63"/>
      <c r="RK19" s="63"/>
      <c r="RL19" s="63"/>
      <c r="RM19" s="63"/>
      <c r="RN19" s="63"/>
      <c r="RO19" s="63"/>
      <c r="RP19" s="63"/>
      <c r="RQ19" s="63"/>
      <c r="RR19" s="63"/>
      <c r="RS19" s="63"/>
      <c r="RT19" s="63"/>
      <c r="RU19" s="63"/>
      <c r="RV19" s="63"/>
      <c r="RW19" s="63"/>
      <c r="RX19" s="63"/>
      <c r="RY19" s="63"/>
      <c r="RZ19" s="63"/>
      <c r="SA19" s="63"/>
      <c r="SB19" s="63"/>
      <c r="SC19" s="63"/>
      <c r="SD19" s="63"/>
      <c r="SE19" s="63"/>
      <c r="SF19" s="63"/>
      <c r="SG19" s="63"/>
      <c r="SH19" s="63"/>
      <c r="SI19" s="63"/>
      <c r="SJ19" s="63"/>
      <c r="SK19" s="63"/>
      <c r="SL19" s="63"/>
      <c r="SM19" s="63"/>
      <c r="SN19" s="63"/>
      <c r="SO19" s="63"/>
      <c r="SP19" s="63"/>
      <c r="SQ19" s="63"/>
      <c r="SR19" s="63"/>
      <c r="SS19" s="63"/>
      <c r="ST19" s="63"/>
      <c r="SU19" s="63"/>
      <c r="SV19" s="63"/>
      <c r="SW19" s="63"/>
      <c r="SX19" s="63"/>
      <c r="SY19" s="63"/>
      <c r="SZ19" s="63"/>
      <c r="TA19" s="63"/>
      <c r="TB19" s="63"/>
      <c r="TC19" s="63"/>
      <c r="TD19" s="63"/>
      <c r="TE19" s="63"/>
      <c r="TF19" s="63"/>
      <c r="TG19" s="63"/>
      <c r="TH19" s="63"/>
      <c r="TI19" s="63"/>
      <c r="TJ19" s="63"/>
      <c r="TK19" s="63"/>
      <c r="TL19" s="63"/>
      <c r="TM19" s="63"/>
      <c r="TN19" s="63"/>
      <c r="TO19" s="63"/>
      <c r="TP19" s="63"/>
      <c r="TQ19" s="63"/>
      <c r="TR19" s="63"/>
      <c r="TS19" s="63"/>
      <c r="TT19" s="63"/>
      <c r="TU19" s="63"/>
      <c r="TV19" s="63"/>
      <c r="TW19" s="63"/>
      <c r="TX19" s="63"/>
      <c r="TY19" s="63"/>
      <c r="TZ19" s="63"/>
      <c r="UA19" s="63"/>
      <c r="UB19" s="63"/>
      <c r="UC19" s="63"/>
      <c r="UD19" s="63"/>
      <c r="UE19" s="63"/>
      <c r="UF19" s="63"/>
      <c r="UG19" s="63"/>
      <c r="UH19" s="63"/>
      <c r="UI19" s="63"/>
      <c r="UJ19" s="63"/>
      <c r="UK19" s="63"/>
      <c r="UL19" s="63"/>
      <c r="UM19" s="63"/>
      <c r="UN19" s="63"/>
      <c r="UO19" s="63"/>
      <c r="UP19" s="63"/>
      <c r="UQ19" s="63"/>
      <c r="UR19" s="63"/>
      <c r="US19" s="63"/>
      <c r="UT19" s="63"/>
      <c r="UU19" s="63"/>
      <c r="UV19" s="63"/>
      <c r="UW19" s="63"/>
      <c r="UX19" s="63"/>
      <c r="UY19" s="63"/>
      <c r="UZ19" s="63"/>
      <c r="VA19" s="63"/>
      <c r="VB19" s="63"/>
      <c r="VC19" s="63"/>
      <c r="VD19" s="63"/>
      <c r="VE19" s="63"/>
      <c r="VF19" s="63"/>
      <c r="VG19" s="63"/>
      <c r="VH19" s="63"/>
      <c r="VI19" s="63"/>
      <c r="VJ19" s="63"/>
      <c r="VK19" s="63"/>
      <c r="VL19" s="63"/>
      <c r="VM19" s="63"/>
      <c r="VN19" s="63"/>
      <c r="VO19" s="63"/>
      <c r="VP19" s="63"/>
      <c r="VQ19" s="63"/>
      <c r="VR19" s="63"/>
      <c r="VS19" s="63"/>
      <c r="VT19" s="63"/>
      <c r="VU19" s="63"/>
      <c r="VV19" s="63"/>
      <c r="VW19" s="63"/>
      <c r="VX19" s="63"/>
      <c r="VY19" s="63"/>
      <c r="VZ19" s="63"/>
      <c r="WA19" s="63"/>
      <c r="WB19" s="63"/>
      <c r="WC19" s="63"/>
      <c r="WD19" s="63"/>
      <c r="WE19" s="63"/>
      <c r="WF19" s="63"/>
      <c r="WG19" s="63"/>
      <c r="WH19" s="63"/>
      <c r="WI19" s="63"/>
      <c r="WJ19" s="63"/>
      <c r="WK19" s="63"/>
      <c r="WL19" s="63"/>
      <c r="WM19" s="63"/>
      <c r="WN19" s="63"/>
      <c r="WO19" s="63"/>
      <c r="WP19" s="63"/>
      <c r="WQ19" s="63"/>
      <c r="WR19" s="63"/>
      <c r="WS19" s="63"/>
      <c r="WT19" s="63"/>
      <c r="WU19" s="63"/>
      <c r="WV19" s="63"/>
      <c r="WW19" s="63"/>
      <c r="WX19" s="63"/>
      <c r="WY19" s="63"/>
      <c r="WZ19" s="63"/>
      <c r="XA19" s="63"/>
      <c r="XB19" s="63"/>
      <c r="XC19" s="63"/>
      <c r="XD19" s="63"/>
      <c r="XE19" s="63"/>
      <c r="XF19" s="63"/>
      <c r="XG19" s="63"/>
      <c r="XH19" s="63"/>
      <c r="XI19" s="63"/>
      <c r="XJ19" s="63"/>
      <c r="XK19" s="63"/>
      <c r="XL19" s="63"/>
      <c r="XM19" s="63"/>
      <c r="XN19" s="63"/>
      <c r="XO19" s="63"/>
      <c r="XP19" s="63"/>
      <c r="XQ19" s="63"/>
      <c r="XR19" s="63"/>
      <c r="XS19" s="63"/>
      <c r="XT19" s="63"/>
      <c r="XU19" s="63"/>
      <c r="XV19" s="63"/>
      <c r="XW19" s="63"/>
      <c r="XX19" s="63"/>
      <c r="XY19" s="63"/>
      <c r="XZ19" s="63"/>
      <c r="YA19" s="63"/>
      <c r="YB19" s="63"/>
      <c r="YC19" s="63"/>
      <c r="YD19" s="63"/>
      <c r="YE19" s="63"/>
      <c r="YF19" s="63"/>
      <c r="YG19" s="63"/>
      <c r="YH19" s="63"/>
      <c r="YI19" s="63"/>
      <c r="YJ19" s="63"/>
      <c r="YK19" s="63"/>
      <c r="YL19" s="63"/>
      <c r="YM19" s="63"/>
      <c r="YN19" s="63"/>
      <c r="YO19" s="63"/>
      <c r="YP19" s="63"/>
      <c r="YQ19" s="63"/>
      <c r="YR19" s="63"/>
      <c r="YS19" s="63"/>
      <c r="YT19" s="63"/>
      <c r="YU19" s="63"/>
      <c r="YV19" s="63"/>
      <c r="YW19" s="63"/>
      <c r="YX19" s="63"/>
      <c r="YY19" s="63"/>
      <c r="YZ19" s="63"/>
      <c r="ZA19" s="63"/>
      <c r="ZB19" s="63"/>
      <c r="ZC19" s="63"/>
      <c r="ZD19" s="63"/>
      <c r="ZE19" s="63"/>
      <c r="ZF19" s="63"/>
      <c r="ZG19" s="63"/>
      <c r="ZH19" s="63"/>
      <c r="ZI19" s="63"/>
      <c r="ZJ19" s="63"/>
      <c r="ZK19" s="63"/>
      <c r="ZL19" s="63"/>
      <c r="ZM19" s="63"/>
      <c r="ZN19" s="63"/>
      <c r="ZO19" s="63"/>
      <c r="ZP19" s="63"/>
      <c r="ZQ19" s="63"/>
      <c r="ZR19" s="63"/>
      <c r="ZS19" s="63"/>
      <c r="ZT19" s="63"/>
      <c r="ZU19" s="63"/>
      <c r="ZV19" s="63"/>
      <c r="ZW19" s="63"/>
      <c r="ZX19" s="63"/>
      <c r="ZY19" s="63"/>
      <c r="ZZ19" s="63"/>
      <c r="AAA19" s="63"/>
      <c r="AAB19" s="63"/>
      <c r="AAC19" s="63"/>
      <c r="AAD19" s="63"/>
      <c r="AAE19" s="63"/>
      <c r="AAF19" s="63"/>
      <c r="AAG19" s="63"/>
      <c r="AAH19" s="63"/>
      <c r="AAI19" s="63"/>
      <c r="AAJ19" s="63"/>
      <c r="AAK19" s="63"/>
      <c r="AAL19" s="63"/>
      <c r="AAM19" s="63"/>
      <c r="AAN19" s="63"/>
      <c r="AAO19" s="63"/>
      <c r="AAP19" s="63"/>
      <c r="AAQ19" s="63"/>
      <c r="AAR19" s="63"/>
      <c r="AAS19" s="63"/>
      <c r="AAT19" s="63"/>
      <c r="AAU19" s="63"/>
      <c r="AAV19" s="63"/>
      <c r="AAW19" s="63"/>
      <c r="AAX19" s="63"/>
      <c r="AAY19" s="63"/>
      <c r="AAZ19" s="63"/>
      <c r="ABA19" s="63"/>
      <c r="ABB19" s="63"/>
      <c r="ABC19" s="63"/>
      <c r="ABD19" s="63"/>
      <c r="ABE19" s="63"/>
      <c r="ABF19" s="63"/>
      <c r="ABG19" s="63"/>
      <c r="ABH19" s="63"/>
      <c r="ABI19" s="63"/>
      <c r="ABJ19" s="63"/>
      <c r="ABK19" s="63"/>
      <c r="ABL19" s="63"/>
      <c r="ABM19" s="63"/>
      <c r="ABN19" s="63"/>
      <c r="ABO19" s="63"/>
      <c r="ABP19" s="63"/>
      <c r="ABQ19" s="63"/>
      <c r="ABR19" s="63"/>
      <c r="ABS19" s="63"/>
      <c r="ABT19" s="63"/>
      <c r="ABU19" s="63"/>
      <c r="ABV19" s="63"/>
      <c r="ABW19" s="63"/>
      <c r="ABX19" s="63"/>
      <c r="ABY19" s="63"/>
      <c r="ABZ19" s="63"/>
      <c r="ACA19" s="63"/>
      <c r="ACB19" s="63"/>
      <c r="ACC19" s="63"/>
      <c r="ACD19" s="63"/>
      <c r="ACE19" s="63"/>
      <c r="ACF19" s="63"/>
      <c r="ACG19" s="63"/>
      <c r="ACH19" s="63"/>
      <c r="ACI19" s="63"/>
      <c r="ACJ19" s="63"/>
      <c r="ACK19" s="63"/>
      <c r="ACL19" s="63"/>
      <c r="ACM19" s="63"/>
      <c r="ACN19" s="63"/>
      <c r="ACO19" s="63"/>
      <c r="ACP19" s="63"/>
      <c r="ACQ19" s="63"/>
      <c r="ACR19" s="63"/>
      <c r="ACS19" s="63"/>
      <c r="ACT19" s="63"/>
      <c r="ACU19" s="63"/>
      <c r="ACV19" s="63"/>
      <c r="ACW19" s="63"/>
      <c r="ACX19" s="63"/>
      <c r="ACY19" s="63"/>
      <c r="ACZ19" s="63"/>
      <c r="ADA19" s="63"/>
      <c r="ADB19" s="63"/>
      <c r="ADC19" s="63"/>
      <c r="ADD19" s="63"/>
      <c r="ADE19" s="63"/>
      <c r="ADF19" s="63"/>
      <c r="ADG19" s="63"/>
      <c r="ADH19" s="63"/>
      <c r="ADI19" s="63"/>
      <c r="ADJ19" s="63"/>
      <c r="ADK19" s="63"/>
      <c r="ADL19" s="63"/>
      <c r="ADM19" s="63"/>
      <c r="ADN19" s="63"/>
      <c r="ADO19" s="63"/>
      <c r="ADP19" s="63"/>
      <c r="ADQ19" s="63"/>
      <c r="ADR19" s="63"/>
      <c r="ADS19" s="63"/>
      <c r="ADT19" s="63"/>
      <c r="ADU19" s="63"/>
      <c r="ADV19" s="63"/>
      <c r="ADW19" s="63"/>
      <c r="ADX19" s="63"/>
      <c r="ADY19" s="63"/>
      <c r="ADZ19" s="63"/>
      <c r="AEA19" s="63"/>
      <c r="AEB19" s="63"/>
      <c r="AEC19" s="63"/>
      <c r="AED19" s="63"/>
      <c r="AEE19" s="63"/>
      <c r="AEF19" s="63"/>
      <c r="AEG19" s="63"/>
      <c r="AEH19" s="63"/>
      <c r="AEI19" s="63"/>
      <c r="AEJ19" s="63"/>
      <c r="AEK19" s="63"/>
      <c r="AEL19" s="63"/>
      <c r="AEM19" s="63"/>
      <c r="AEN19" s="63"/>
      <c r="AEO19" s="63"/>
      <c r="AEP19" s="63"/>
      <c r="AEQ19" s="63"/>
      <c r="AER19" s="63"/>
      <c r="AES19" s="63"/>
      <c r="AET19" s="63"/>
      <c r="AEU19" s="63"/>
      <c r="AEV19" s="63"/>
      <c r="AEW19" s="63"/>
      <c r="AEX19" s="63"/>
      <c r="AEY19" s="63"/>
      <c r="AEZ19" s="63"/>
      <c r="AFA19" s="63"/>
      <c r="AFB19" s="63"/>
      <c r="AFC19" s="63"/>
      <c r="AFD19" s="63"/>
      <c r="AFE19" s="63"/>
      <c r="AFF19" s="63"/>
      <c r="AFG19" s="63"/>
      <c r="AFH19" s="63"/>
      <c r="AFI19" s="63"/>
      <c r="AFJ19" s="63"/>
      <c r="AFK19" s="63"/>
      <c r="AFL19" s="63"/>
      <c r="AFM19" s="63"/>
      <c r="AFN19" s="63"/>
      <c r="AFO19" s="63"/>
      <c r="AFP19" s="63"/>
      <c r="AFQ19" s="63"/>
      <c r="AFR19" s="63"/>
      <c r="AFS19" s="63"/>
      <c r="AFT19" s="63"/>
      <c r="AFU19" s="63"/>
      <c r="AFV19" s="63"/>
      <c r="AFW19" s="63"/>
      <c r="AFX19" s="63"/>
      <c r="AFY19" s="63"/>
      <c r="AFZ19" s="63"/>
      <c r="AGA19" s="63"/>
      <c r="AGB19" s="63"/>
      <c r="AGC19" s="63"/>
      <c r="AGD19" s="63"/>
      <c r="AGE19" s="63"/>
      <c r="AGF19" s="63"/>
      <c r="AGG19" s="63"/>
      <c r="AGH19" s="63"/>
      <c r="AGI19" s="63"/>
      <c r="AGJ19" s="63"/>
      <c r="AGK19" s="63"/>
      <c r="AGL19" s="63"/>
      <c r="AGM19" s="63"/>
      <c r="AGN19" s="63"/>
      <c r="AGO19" s="63"/>
      <c r="AGP19" s="63"/>
      <c r="AGQ19" s="63"/>
      <c r="AGR19" s="63"/>
      <c r="AGS19" s="63"/>
      <c r="AGT19" s="63"/>
      <c r="AGU19" s="63"/>
      <c r="AGV19" s="63"/>
      <c r="AGW19" s="63"/>
      <c r="AGX19" s="63"/>
      <c r="AGY19" s="63"/>
      <c r="AGZ19" s="63"/>
      <c r="AHA19" s="63"/>
      <c r="AHB19" s="63"/>
      <c r="AHC19" s="63"/>
      <c r="AHD19" s="63"/>
      <c r="AHE19" s="63"/>
      <c r="AHF19" s="63"/>
      <c r="AHG19" s="63"/>
      <c r="AHH19" s="63"/>
      <c r="AHI19" s="63"/>
      <c r="AHJ19" s="63"/>
      <c r="AHK19" s="63"/>
      <c r="AHL19" s="63"/>
      <c r="AHM19" s="63"/>
      <c r="AHN19" s="63"/>
      <c r="AHO19" s="63"/>
      <c r="AHP19" s="63"/>
      <c r="AHQ19" s="63"/>
      <c r="AHR19" s="63"/>
      <c r="AHS19" s="63"/>
      <c r="AHT19" s="63"/>
      <c r="AHU19" s="63"/>
      <c r="AHV19" s="63"/>
      <c r="AHW19" s="63"/>
      <c r="AHX19" s="63"/>
      <c r="AHY19" s="63"/>
      <c r="AHZ19" s="63"/>
      <c r="AIA19" s="63"/>
      <c r="AIB19" s="63"/>
      <c r="AIC19" s="63"/>
      <c r="AID19" s="63"/>
      <c r="AIE19" s="63"/>
      <c r="AIF19" s="63"/>
      <c r="AIG19" s="63"/>
      <c r="AIH19" s="63"/>
      <c r="AII19" s="63"/>
      <c r="AIJ19" s="63"/>
      <c r="AIK19" s="63"/>
      <c r="AIL19" s="63"/>
      <c r="AIM19" s="63"/>
      <c r="AIN19" s="63"/>
      <c r="AIO19" s="63"/>
      <c r="AIP19" s="63"/>
      <c r="AIQ19" s="63"/>
      <c r="AIR19" s="63"/>
      <c r="AIS19" s="63"/>
      <c r="AIT19" s="63"/>
      <c r="AIU19" s="63"/>
      <c r="AIV19" s="63"/>
      <c r="AIW19" s="63"/>
      <c r="AIX19" s="63"/>
      <c r="AIY19" s="63"/>
      <c r="AIZ19" s="63"/>
      <c r="AJA19" s="63"/>
      <c r="AJB19" s="63"/>
      <c r="AJC19" s="63"/>
      <c r="AJD19" s="63"/>
      <c r="AJE19" s="63"/>
      <c r="AJF19" s="63"/>
      <c r="AJG19" s="63"/>
      <c r="AJH19" s="63"/>
      <c r="AJI19" s="63"/>
      <c r="AJJ19" s="63"/>
      <c r="AJK19" s="63"/>
      <c r="AJL19" s="63"/>
      <c r="AJM19" s="63"/>
      <c r="AJN19" s="63"/>
      <c r="AJO19" s="63"/>
      <c r="AJP19" s="63"/>
      <c r="AJQ19" s="63"/>
      <c r="AJR19" s="63"/>
      <c r="AJS19" s="63"/>
      <c r="AJT19" s="63"/>
      <c r="AJU19" s="63"/>
      <c r="AJV19" s="63"/>
      <c r="AJW19" s="63"/>
      <c r="AJX19" s="63"/>
      <c r="AJY19" s="63"/>
      <c r="AJZ19" s="63"/>
      <c r="AKA19" s="63"/>
      <c r="AKB19" s="63"/>
      <c r="AKC19" s="63"/>
      <c r="AKD19" s="63"/>
      <c r="AKE19" s="63"/>
      <c r="AKF19" s="63"/>
      <c r="AKG19" s="63"/>
      <c r="AKH19" s="63"/>
      <c r="AKI19" s="63"/>
      <c r="AKJ19" s="63"/>
      <c r="AKK19" s="63"/>
      <c r="AKL19" s="63"/>
      <c r="AKM19" s="63"/>
      <c r="AKN19" s="63"/>
      <c r="AKO19" s="63"/>
      <c r="AKP19" s="63"/>
      <c r="AKQ19" s="63"/>
      <c r="AKR19" s="63"/>
      <c r="AKS19" s="63"/>
      <c r="AKT19" s="63"/>
      <c r="AKU19" s="63"/>
      <c r="AKV19" s="63"/>
      <c r="AKW19" s="63"/>
      <c r="AKX19" s="63"/>
      <c r="AKY19" s="63"/>
      <c r="AKZ19" s="63"/>
      <c r="ALA19" s="63"/>
      <c r="ALB19" s="63"/>
      <c r="ALC19" s="63"/>
      <c r="ALD19" s="63"/>
      <c r="ALE19" s="63"/>
      <c r="ALF19" s="63"/>
      <c r="ALG19" s="63"/>
      <c r="ALH19" s="63"/>
      <c r="ALI19" s="63"/>
      <c r="ALJ19" s="63"/>
      <c r="ALK19" s="63"/>
      <c r="ALL19" s="63"/>
      <c r="ALM19" s="63"/>
      <c r="ALN19" s="63"/>
      <c r="ALO19" s="63"/>
      <c r="ALP19" s="63"/>
      <c r="ALQ19" s="63"/>
      <c r="ALR19" s="63"/>
    </row>
    <row r="20" spans="2:1006" ht="29" x14ac:dyDescent="0.35">
      <c r="F20" s="65" t="s">
        <v>77</v>
      </c>
      <c r="G20" s="66" t="s">
        <v>78</v>
      </c>
      <c r="H20" s="66" t="s">
        <v>79</v>
      </c>
    </row>
    <row r="22" spans="2:1006" x14ac:dyDescent="0.35">
      <c r="D22" s="64" t="s">
        <v>55</v>
      </c>
      <c r="E22" s="65" t="s">
        <v>56</v>
      </c>
      <c r="F22" s="62">
        <v>50000</v>
      </c>
      <c r="G22" s="62">
        <v>70000</v>
      </c>
      <c r="H22" s="62">
        <v>30000</v>
      </c>
    </row>
    <row r="23" spans="2:1006" x14ac:dyDescent="0.35">
      <c r="E23" s="65"/>
    </row>
    <row r="24" spans="2:1006" x14ac:dyDescent="0.35">
      <c r="D24" s="64" t="s">
        <v>70</v>
      </c>
      <c r="E24" s="65" t="s">
        <v>59</v>
      </c>
      <c r="F24" s="62">
        <v>600000</v>
      </c>
      <c r="G24" s="62">
        <v>600000</v>
      </c>
      <c r="H24" s="62">
        <v>600000</v>
      </c>
    </row>
    <row r="25" spans="2:1006" x14ac:dyDescent="0.35">
      <c r="D25" s="64" t="s">
        <v>71</v>
      </c>
      <c r="E25" s="65" t="s">
        <v>59</v>
      </c>
      <c r="F25" s="62">
        <v>500000</v>
      </c>
      <c r="G25" s="62">
        <v>500000</v>
      </c>
      <c r="H25" s="62">
        <v>500000</v>
      </c>
    </row>
    <row r="26" spans="2:1006" x14ac:dyDescent="0.35">
      <c r="E26" s="65"/>
    </row>
    <row r="27" spans="2:1006" x14ac:dyDescent="0.35">
      <c r="D27" s="64" t="s">
        <v>72</v>
      </c>
      <c r="E27" s="65" t="s">
        <v>44</v>
      </c>
      <c r="F27" s="62">
        <v>8</v>
      </c>
      <c r="G27" s="62">
        <v>8</v>
      </c>
      <c r="H27" s="62">
        <v>8</v>
      </c>
    </row>
    <row r="28" spans="2:1006" x14ac:dyDescent="0.35">
      <c r="D28" s="64" t="s">
        <v>73</v>
      </c>
      <c r="E28" s="65" t="s">
        <v>44</v>
      </c>
      <c r="F28" s="62">
        <v>10</v>
      </c>
      <c r="G28" s="62">
        <v>10</v>
      </c>
      <c r="H28" s="62">
        <v>10</v>
      </c>
    </row>
    <row r="29" spans="2:1006" x14ac:dyDescent="0.35">
      <c r="E29" s="65"/>
    </row>
    <row r="30" spans="2:1006" x14ac:dyDescent="0.35">
      <c r="D30" s="64" t="s">
        <v>74</v>
      </c>
      <c r="E30" s="65" t="s">
        <v>59</v>
      </c>
      <c r="F30" s="67">
        <f>F27*F22</f>
        <v>400000</v>
      </c>
      <c r="G30" s="67">
        <f>G27*G22</f>
        <v>560000</v>
      </c>
      <c r="H30" s="67">
        <f>H27*H22</f>
        <v>240000</v>
      </c>
    </row>
    <row r="31" spans="2:1006" x14ac:dyDescent="0.35">
      <c r="D31" s="64" t="s">
        <v>75</v>
      </c>
      <c r="E31" s="65" t="s">
        <v>59</v>
      </c>
      <c r="F31" s="67">
        <f>F28*F22</f>
        <v>500000</v>
      </c>
      <c r="G31" s="67">
        <f>G28*G22</f>
        <v>700000</v>
      </c>
      <c r="H31" s="67">
        <f>H28*H22</f>
        <v>300000</v>
      </c>
    </row>
    <row r="32" spans="2:1006" x14ac:dyDescent="0.35">
      <c r="E32" s="65"/>
    </row>
    <row r="33" spans="4:8" x14ac:dyDescent="0.35">
      <c r="D33" s="64" t="s">
        <v>76</v>
      </c>
      <c r="E33" s="65" t="s">
        <v>59</v>
      </c>
      <c r="F33" s="67">
        <f t="shared" ref="F33:H34" si="1">F24+F30</f>
        <v>1000000</v>
      </c>
      <c r="G33" s="67">
        <f t="shared" si="1"/>
        <v>1160000</v>
      </c>
      <c r="H33" s="67">
        <f t="shared" si="1"/>
        <v>840000</v>
      </c>
    </row>
    <row r="34" spans="4:8" x14ac:dyDescent="0.35">
      <c r="D34" s="64" t="s">
        <v>76</v>
      </c>
      <c r="E34" s="65" t="s">
        <v>59</v>
      </c>
      <c r="F34" s="67">
        <f t="shared" si="1"/>
        <v>1000000</v>
      </c>
      <c r="G34" s="67">
        <f t="shared" si="1"/>
        <v>1200000</v>
      </c>
      <c r="H34" s="67">
        <f t="shared" si="1"/>
        <v>800000</v>
      </c>
    </row>
    <row r="36" spans="4:8" x14ac:dyDescent="0.35">
      <c r="D36" s="64" t="s">
        <v>82</v>
      </c>
      <c r="E36" s="65" t="s">
        <v>59</v>
      </c>
      <c r="F36" s="67">
        <f>F33-F34</f>
        <v>0</v>
      </c>
      <c r="G36" s="67">
        <f t="shared" ref="G36:H36" si="2">G33-G34</f>
        <v>-40000</v>
      </c>
      <c r="H36" s="67">
        <f t="shared" si="2"/>
        <v>40000</v>
      </c>
    </row>
  </sheetData>
  <conditionalFormatting sqref="A1:XFD1048576">
    <cfRule type="expression" dxfId="1" priority="1">
      <formula>AND(A1&lt;&gt;"",A1=FALSE)</formula>
    </cfRule>
    <cfRule type="expression" dxfId="0" priority="2">
      <formula>A1=TRUE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6DE42-AE53-4477-A3FC-D7DEA9F64AC1}">
  <dimension ref="B3:I14"/>
  <sheetViews>
    <sheetView workbookViewId="0">
      <selection activeCell="E18" sqref="E18"/>
    </sheetView>
  </sheetViews>
  <sheetFormatPr defaultRowHeight="14.5" x14ac:dyDescent="0.35"/>
  <sheetData>
    <row r="3" spans="2:9" x14ac:dyDescent="0.35">
      <c r="C3" t="s">
        <v>96</v>
      </c>
      <c r="E3" t="s">
        <v>92</v>
      </c>
      <c r="F3" t="s">
        <v>91</v>
      </c>
      <c r="H3" t="s">
        <v>97</v>
      </c>
      <c r="I3" t="s">
        <v>98</v>
      </c>
    </row>
    <row r="4" spans="2:9" x14ac:dyDescent="0.35">
      <c r="B4" t="s">
        <v>86</v>
      </c>
      <c r="C4">
        <v>20</v>
      </c>
      <c r="E4">
        <f>F4</f>
        <v>10</v>
      </c>
      <c r="F4">
        <v>10</v>
      </c>
      <c r="H4" t="s">
        <v>95</v>
      </c>
      <c r="I4">
        <v>50</v>
      </c>
    </row>
    <row r="5" spans="2:9" x14ac:dyDescent="0.35">
      <c r="B5" t="s">
        <v>87</v>
      </c>
      <c r="C5">
        <v>30</v>
      </c>
      <c r="E5">
        <f>E4+F5</f>
        <v>20</v>
      </c>
      <c r="F5">
        <v>10</v>
      </c>
      <c r="H5" t="s">
        <v>94</v>
      </c>
      <c r="I5">
        <v>3</v>
      </c>
    </row>
    <row r="6" spans="2:9" x14ac:dyDescent="0.35">
      <c r="B6" t="s">
        <v>88</v>
      </c>
      <c r="C6">
        <v>30</v>
      </c>
      <c r="E6">
        <f t="shared" ref="E6:E13" si="0">E5+F6</f>
        <v>30</v>
      </c>
      <c r="F6">
        <v>10</v>
      </c>
      <c r="H6" t="s">
        <v>93</v>
      </c>
      <c r="I6">
        <f>C9-SUM(I4:I5)</f>
        <v>147</v>
      </c>
    </row>
    <row r="7" spans="2:9" x14ac:dyDescent="0.35">
      <c r="B7" t="s">
        <v>89</v>
      </c>
      <c r="C7">
        <v>20</v>
      </c>
      <c r="E7">
        <f t="shared" si="0"/>
        <v>40</v>
      </c>
      <c r="F7">
        <v>10</v>
      </c>
      <c r="H7" t="s">
        <v>11</v>
      </c>
      <c r="I7">
        <f>SUM(I4:I6)</f>
        <v>200</v>
      </c>
    </row>
    <row r="8" spans="2:9" x14ac:dyDescent="0.35">
      <c r="B8" t="s">
        <v>90</v>
      </c>
      <c r="C8">
        <f>SUM(C4:C7)</f>
        <v>100</v>
      </c>
      <c r="E8">
        <f t="shared" si="0"/>
        <v>50</v>
      </c>
      <c r="F8">
        <v>10</v>
      </c>
    </row>
    <row r="9" spans="2:9" x14ac:dyDescent="0.35">
      <c r="B9" t="s">
        <v>11</v>
      </c>
      <c r="C9">
        <f>SUM(C4:C8)</f>
        <v>200</v>
      </c>
      <c r="E9">
        <f t="shared" si="0"/>
        <v>60</v>
      </c>
      <c r="F9">
        <v>10</v>
      </c>
    </row>
    <row r="10" spans="2:9" x14ac:dyDescent="0.35">
      <c r="E10">
        <f t="shared" si="0"/>
        <v>70</v>
      </c>
      <c r="F10">
        <v>10</v>
      </c>
    </row>
    <row r="11" spans="2:9" x14ac:dyDescent="0.35">
      <c r="E11">
        <f t="shared" si="0"/>
        <v>80</v>
      </c>
      <c r="F11">
        <v>10</v>
      </c>
    </row>
    <row r="12" spans="2:9" x14ac:dyDescent="0.35">
      <c r="E12">
        <f t="shared" si="0"/>
        <v>90</v>
      </c>
      <c r="F12">
        <v>10</v>
      </c>
    </row>
    <row r="13" spans="2:9" x14ac:dyDescent="0.35">
      <c r="E13">
        <f t="shared" si="0"/>
        <v>100</v>
      </c>
      <c r="F13">
        <v>10</v>
      </c>
    </row>
    <row r="14" spans="2:9" x14ac:dyDescent="0.35">
      <c r="E14">
        <v>0</v>
      </c>
      <c r="F14">
        <f>SUM(F4:F13)</f>
        <v>100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8210B-D1B9-4F6C-8EC7-7F654638A792}">
  <dimension ref="B3:I18"/>
  <sheetViews>
    <sheetView tabSelected="1" workbookViewId="0">
      <selection activeCell="E22" sqref="E22"/>
    </sheetView>
  </sheetViews>
  <sheetFormatPr defaultRowHeight="14.5" x14ac:dyDescent="0.35"/>
  <sheetData>
    <row r="3" spans="2:9" x14ac:dyDescent="0.35">
      <c r="C3" t="s">
        <v>96</v>
      </c>
      <c r="E3" t="s">
        <v>92</v>
      </c>
      <c r="F3" t="s">
        <v>91</v>
      </c>
      <c r="H3" t="s">
        <v>97</v>
      </c>
      <c r="I3" t="s">
        <v>98</v>
      </c>
    </row>
    <row r="4" spans="2:9" x14ac:dyDescent="0.35">
      <c r="B4" t="s">
        <v>86</v>
      </c>
      <c r="C4">
        <v>20</v>
      </c>
      <c r="E4">
        <f>F4</f>
        <v>10</v>
      </c>
      <c r="F4">
        <v>10</v>
      </c>
      <c r="H4" t="s">
        <v>95</v>
      </c>
      <c r="I4">
        <v>25</v>
      </c>
    </row>
    <row r="5" spans="2:9" x14ac:dyDescent="0.35">
      <c r="B5" t="s">
        <v>87</v>
      </c>
      <c r="C5">
        <v>30</v>
      </c>
      <c r="E5">
        <f>E4+F5</f>
        <v>20</v>
      </c>
      <c r="F5">
        <v>10</v>
      </c>
      <c r="H5" t="s">
        <v>94</v>
      </c>
      <c r="I5">
        <v>3</v>
      </c>
    </row>
    <row r="6" spans="2:9" x14ac:dyDescent="0.35">
      <c r="B6" t="s">
        <v>88</v>
      </c>
      <c r="C6">
        <v>30</v>
      </c>
      <c r="E6">
        <f t="shared" ref="E6:E13" si="0">E5+F6</f>
        <v>30</v>
      </c>
      <c r="F6">
        <v>10</v>
      </c>
      <c r="H6" t="s">
        <v>93</v>
      </c>
      <c r="I6">
        <f>C9-SUM(I4:I5)</f>
        <v>172</v>
      </c>
    </row>
    <row r="7" spans="2:9" x14ac:dyDescent="0.35">
      <c r="B7" t="s">
        <v>89</v>
      </c>
      <c r="C7">
        <v>20</v>
      </c>
      <c r="E7">
        <f t="shared" si="0"/>
        <v>40</v>
      </c>
      <c r="F7">
        <v>10</v>
      </c>
      <c r="H7" t="s">
        <v>11</v>
      </c>
      <c r="I7">
        <f>SUM(I4:I6)</f>
        <v>200</v>
      </c>
    </row>
    <row r="8" spans="2:9" x14ac:dyDescent="0.35">
      <c r="B8" t="s">
        <v>90</v>
      </c>
      <c r="C8">
        <f>SUM(C4:C7)</f>
        <v>100</v>
      </c>
      <c r="E8">
        <f t="shared" si="0"/>
        <v>50</v>
      </c>
      <c r="F8">
        <v>10</v>
      </c>
    </row>
    <row r="9" spans="2:9" x14ac:dyDescent="0.35">
      <c r="B9" t="s">
        <v>11</v>
      </c>
      <c r="C9">
        <f>SUM(C4:C8)</f>
        <v>200</v>
      </c>
      <c r="E9">
        <f t="shared" si="0"/>
        <v>60</v>
      </c>
      <c r="F9">
        <v>10</v>
      </c>
    </row>
    <row r="10" spans="2:9" x14ac:dyDescent="0.35">
      <c r="E10">
        <f t="shared" si="0"/>
        <v>70</v>
      </c>
      <c r="F10">
        <v>10</v>
      </c>
    </row>
    <row r="11" spans="2:9" x14ac:dyDescent="0.35">
      <c r="E11">
        <f t="shared" si="0"/>
        <v>80</v>
      </c>
      <c r="F11">
        <v>10</v>
      </c>
    </row>
    <row r="12" spans="2:9" x14ac:dyDescent="0.35">
      <c r="E12">
        <f t="shared" si="0"/>
        <v>90</v>
      </c>
      <c r="F12">
        <v>10</v>
      </c>
    </row>
    <row r="13" spans="2:9" x14ac:dyDescent="0.35">
      <c r="E13">
        <f t="shared" si="0"/>
        <v>100</v>
      </c>
      <c r="F13">
        <v>10</v>
      </c>
    </row>
    <row r="14" spans="2:9" x14ac:dyDescent="0.35">
      <c r="E14">
        <v>0</v>
      </c>
      <c r="F14">
        <f>SUM(F4:F13)</f>
        <v>100</v>
      </c>
    </row>
    <row r="18" spans="2:2" x14ac:dyDescent="0.35">
      <c r="B18" s="27">
        <f>PMT(9.5%,15,105)</f>
        <v>-13.413087975778264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Delay LD</vt:lpstr>
      <vt:lpstr>Availability</vt:lpstr>
      <vt:lpstr>Panel Cleaning</vt:lpstr>
      <vt:lpstr>Sheet1</vt:lpstr>
      <vt:lpstr>Sheet1 (2)</vt:lpstr>
      <vt:lpstr>Heat Rate Bids</vt:lpstr>
      <vt:lpstr>Fixed and Variable</vt:lpstr>
      <vt:lpstr>Incentive Seepominotr</vt:lpstr>
      <vt:lpstr>Cost of Capital Speedominitor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Bodmer</dc:creator>
  <cp:lastModifiedBy>Edward Bodmer</cp:lastModifiedBy>
  <dcterms:created xsi:type="dcterms:W3CDTF">2026-06-13T11:44:39Z</dcterms:created>
  <dcterms:modified xsi:type="dcterms:W3CDTF">2026-08-29T22:53:11Z</dcterms:modified>
</cp:coreProperties>
</file>